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105" windowWidth="11550" windowHeight="9855"/>
  </bookViews>
  <sheets>
    <sheet name="PRÍJMY " sheetId="5" r:id="rId1"/>
    <sheet name="VÝDAJE " sheetId="6" r:id="rId2"/>
    <sheet name="ostat.organ." sheetId="7" r:id="rId3"/>
    <sheet name="org.školstva" sheetId="10" r:id="rId4"/>
  </sheets>
  <calcPr calcId="145621"/>
</workbook>
</file>

<file path=xl/calcChain.xml><?xml version="1.0" encoding="utf-8"?>
<calcChain xmlns="http://schemas.openxmlformats.org/spreadsheetml/2006/main">
  <c r="E355" i="10" l="1"/>
  <c r="F352" i="10"/>
  <c r="F351" i="10"/>
  <c r="E350" i="10"/>
  <c r="D350" i="10"/>
  <c r="C350" i="10"/>
  <c r="B350" i="10"/>
  <c r="D349" i="10"/>
  <c r="E348" i="10"/>
  <c r="E347" i="10"/>
  <c r="H346" i="10"/>
  <c r="G346" i="10"/>
  <c r="I346" i="10" s="1"/>
  <c r="F346" i="10"/>
  <c r="E346" i="10"/>
  <c r="H345" i="10"/>
  <c r="G345" i="10"/>
  <c r="F345" i="10"/>
  <c r="E345" i="10"/>
  <c r="E344" i="10"/>
  <c r="E343" i="10"/>
  <c r="E342" i="10"/>
  <c r="E341" i="10"/>
  <c r="D339" i="10"/>
  <c r="C339" i="10"/>
  <c r="B339" i="10"/>
  <c r="D337" i="10"/>
  <c r="C337" i="10"/>
  <c r="B337" i="10"/>
  <c r="E336" i="10"/>
  <c r="D326" i="10"/>
  <c r="C326" i="10"/>
  <c r="C322" i="10" s="1"/>
  <c r="B326" i="10"/>
  <c r="H321" i="10"/>
  <c r="G321" i="10"/>
  <c r="F321" i="10"/>
  <c r="D320" i="10"/>
  <c r="D319" i="10"/>
  <c r="E319" i="10" s="1"/>
  <c r="E318" i="10"/>
  <c r="E317" i="10"/>
  <c r="E316" i="10"/>
  <c r="C315" i="10"/>
  <c r="B315" i="10"/>
  <c r="H305" i="10"/>
  <c r="H355" i="10" s="1"/>
  <c r="G305" i="10"/>
  <c r="G355" i="10" s="1"/>
  <c r="F305" i="10"/>
  <c r="F355" i="10" s="1"/>
  <c r="H304" i="10"/>
  <c r="H354" i="10" s="1"/>
  <c r="G304" i="10"/>
  <c r="G354" i="10" s="1"/>
  <c r="F304" i="10"/>
  <c r="F354" i="10" s="1"/>
  <c r="H302" i="10"/>
  <c r="H352" i="10" s="1"/>
  <c r="G302" i="10"/>
  <c r="G352" i="10" s="1"/>
  <c r="H301" i="10"/>
  <c r="H351" i="10" s="1"/>
  <c r="G301" i="10"/>
  <c r="G351" i="10" s="1"/>
  <c r="F300" i="10"/>
  <c r="D300" i="10"/>
  <c r="C300" i="10"/>
  <c r="B300" i="10"/>
  <c r="H299" i="10"/>
  <c r="G299" i="10"/>
  <c r="G349" i="10" s="1"/>
  <c r="F299" i="10"/>
  <c r="F349" i="10" s="1"/>
  <c r="G298" i="10"/>
  <c r="G348" i="10" s="1"/>
  <c r="F298" i="10"/>
  <c r="F348" i="10" s="1"/>
  <c r="E298" i="10"/>
  <c r="H297" i="10"/>
  <c r="G297" i="10"/>
  <c r="G347" i="10" s="1"/>
  <c r="F297" i="10"/>
  <c r="F347" i="10" s="1"/>
  <c r="E297" i="10"/>
  <c r="H296" i="10"/>
  <c r="H344" i="10" s="1"/>
  <c r="G296" i="10"/>
  <c r="G344" i="10" s="1"/>
  <c r="F296" i="10"/>
  <c r="F344" i="10" s="1"/>
  <c r="E296" i="10"/>
  <c r="H295" i="10"/>
  <c r="G295" i="10"/>
  <c r="G343" i="10" s="1"/>
  <c r="F295" i="10"/>
  <c r="F343" i="10" s="1"/>
  <c r="E295" i="10"/>
  <c r="H294" i="10"/>
  <c r="H342" i="10" s="1"/>
  <c r="G294" i="10"/>
  <c r="F294" i="10"/>
  <c r="F342" i="10" s="1"/>
  <c r="E294" i="10"/>
  <c r="H293" i="10"/>
  <c r="G293" i="10"/>
  <c r="G341" i="10" s="1"/>
  <c r="F293" i="10"/>
  <c r="F341" i="10" s="1"/>
  <c r="E293" i="10"/>
  <c r="G292" i="10"/>
  <c r="G340" i="10" s="1"/>
  <c r="F292" i="10"/>
  <c r="F340" i="10" s="1"/>
  <c r="D291" i="10"/>
  <c r="C291" i="10"/>
  <c r="B291" i="10"/>
  <c r="G290" i="10"/>
  <c r="G338" i="10" s="1"/>
  <c r="F290" i="10"/>
  <c r="F338" i="10" s="1"/>
  <c r="D290" i="10"/>
  <c r="E290" i="10" s="1"/>
  <c r="D289" i="10"/>
  <c r="C289" i="10"/>
  <c r="B289" i="10"/>
  <c r="H288" i="10"/>
  <c r="H336" i="10" s="1"/>
  <c r="G288" i="10"/>
  <c r="G336" i="10" s="1"/>
  <c r="F288" i="10"/>
  <c r="F336" i="10" s="1"/>
  <c r="H287" i="10"/>
  <c r="H335" i="10" s="1"/>
  <c r="G287" i="10"/>
  <c r="G335" i="10" s="1"/>
  <c r="F287" i="10"/>
  <c r="F335" i="10" s="1"/>
  <c r="H286" i="10"/>
  <c r="G286" i="10"/>
  <c r="G334" i="10" s="1"/>
  <c r="F286" i="10"/>
  <c r="F334" i="10" s="1"/>
  <c r="E286" i="10"/>
  <c r="H285" i="10"/>
  <c r="H333" i="10" s="1"/>
  <c r="G285" i="10"/>
  <c r="G333" i="10" s="1"/>
  <c r="F285" i="10"/>
  <c r="F333" i="10" s="1"/>
  <c r="E285" i="10"/>
  <c r="H284" i="10"/>
  <c r="H332" i="10" s="1"/>
  <c r="G284" i="10"/>
  <c r="G332" i="10" s="1"/>
  <c r="F284" i="10"/>
  <c r="F332" i="10" s="1"/>
  <c r="H283" i="10"/>
  <c r="H331" i="10" s="1"/>
  <c r="G283" i="10"/>
  <c r="F283" i="10"/>
  <c r="F331" i="10" s="1"/>
  <c r="H282" i="10"/>
  <c r="H330" i="10" s="1"/>
  <c r="G282" i="10"/>
  <c r="G330" i="10" s="1"/>
  <c r="F282" i="10"/>
  <c r="F330" i="10" s="1"/>
  <c r="H281" i="10"/>
  <c r="G281" i="10"/>
  <c r="G329" i="10" s="1"/>
  <c r="F281" i="10"/>
  <c r="F329" i="10" s="1"/>
  <c r="E281" i="10"/>
  <c r="H280" i="10"/>
  <c r="H328" i="10" s="1"/>
  <c r="G280" i="10"/>
  <c r="G328" i="10" s="1"/>
  <c r="F280" i="10"/>
  <c r="F328" i="10" s="1"/>
  <c r="H279" i="10"/>
  <c r="G279" i="10"/>
  <c r="F279" i="10"/>
  <c r="F327" i="10" s="1"/>
  <c r="E279" i="10"/>
  <c r="D278" i="10"/>
  <c r="C278" i="10"/>
  <c r="B278" i="10"/>
  <c r="H277" i="10"/>
  <c r="H325" i="10" s="1"/>
  <c r="G277" i="10"/>
  <c r="G325" i="10" s="1"/>
  <c r="F277" i="10"/>
  <c r="F325" i="10" s="1"/>
  <c r="H276" i="10"/>
  <c r="G276" i="10"/>
  <c r="G324" i="10" s="1"/>
  <c r="F276" i="10"/>
  <c r="F324" i="10" s="1"/>
  <c r="E276" i="10"/>
  <c r="H275" i="10"/>
  <c r="H323" i="10" s="1"/>
  <c r="G275" i="10"/>
  <c r="G323" i="10" s="1"/>
  <c r="F275" i="10"/>
  <c r="E275" i="10"/>
  <c r="G273" i="10"/>
  <c r="G320" i="10" s="1"/>
  <c r="F273" i="10"/>
  <c r="F320" i="10" s="1"/>
  <c r="D273" i="10"/>
  <c r="E273" i="10" s="1"/>
  <c r="G272" i="10"/>
  <c r="G319" i="10" s="1"/>
  <c r="F272" i="10"/>
  <c r="F319" i="10" s="1"/>
  <c r="D272" i="10"/>
  <c r="E272" i="10" s="1"/>
  <c r="G271" i="10"/>
  <c r="G318" i="10" s="1"/>
  <c r="F271" i="10"/>
  <c r="F318" i="10" s="1"/>
  <c r="D271" i="10"/>
  <c r="E271" i="10" s="1"/>
  <c r="G270" i="10"/>
  <c r="G317" i="10" s="1"/>
  <c r="F270" i="10"/>
  <c r="F317" i="10" s="1"/>
  <c r="D270" i="10"/>
  <c r="G269" i="10"/>
  <c r="G316" i="10" s="1"/>
  <c r="F269" i="10"/>
  <c r="E269" i="10"/>
  <c r="C268" i="10"/>
  <c r="B268" i="10"/>
  <c r="H252" i="10"/>
  <c r="G252" i="10"/>
  <c r="F252" i="10"/>
  <c r="D252" i="10"/>
  <c r="C252" i="10"/>
  <c r="B252" i="10"/>
  <c r="I250" i="10"/>
  <c r="E250" i="10"/>
  <c r="I249" i="10"/>
  <c r="E249" i="10"/>
  <c r="I248" i="10"/>
  <c r="E248" i="10"/>
  <c r="I247" i="10"/>
  <c r="E247" i="10"/>
  <c r="I246" i="10"/>
  <c r="E246" i="10"/>
  <c r="I245" i="10"/>
  <c r="E245" i="10"/>
  <c r="D244" i="10"/>
  <c r="D243" i="10" s="1"/>
  <c r="H243" i="10"/>
  <c r="G243" i="10"/>
  <c r="F243" i="10"/>
  <c r="C243" i="10"/>
  <c r="B243" i="10"/>
  <c r="H242" i="10"/>
  <c r="D242" i="10"/>
  <c r="H241" i="10"/>
  <c r="G241" i="10"/>
  <c r="F241" i="10"/>
  <c r="D241" i="10"/>
  <c r="C241" i="10"/>
  <c r="B241" i="10"/>
  <c r="I238" i="10"/>
  <c r="E238" i="10"/>
  <c r="I237" i="10"/>
  <c r="E237" i="10"/>
  <c r="E235" i="10"/>
  <c r="E233" i="10"/>
  <c r="I231" i="10"/>
  <c r="E231" i="10"/>
  <c r="H230" i="10"/>
  <c r="G230" i="10"/>
  <c r="F230" i="10"/>
  <c r="D230" i="10"/>
  <c r="C230" i="10"/>
  <c r="B230" i="10"/>
  <c r="I228" i="10"/>
  <c r="E228" i="10"/>
  <c r="I227" i="10"/>
  <c r="E227" i="10"/>
  <c r="H225" i="10"/>
  <c r="D225" i="10"/>
  <c r="D220" i="10" s="1"/>
  <c r="H224" i="10"/>
  <c r="I224" i="10" s="1"/>
  <c r="E224" i="10"/>
  <c r="I223" i="10"/>
  <c r="E223" i="10"/>
  <c r="H222" i="10"/>
  <c r="I222" i="10" s="1"/>
  <c r="E222" i="10"/>
  <c r="I221" i="10"/>
  <c r="E221" i="10"/>
  <c r="G220" i="10"/>
  <c r="F220" i="10"/>
  <c r="C220" i="10"/>
  <c r="B220" i="10"/>
  <c r="H201" i="10"/>
  <c r="G201" i="10"/>
  <c r="F201" i="10"/>
  <c r="D201" i="10"/>
  <c r="C201" i="10"/>
  <c r="B201" i="10"/>
  <c r="H199" i="10"/>
  <c r="H298" i="10" s="1"/>
  <c r="H348" i="10" s="1"/>
  <c r="E199" i="10"/>
  <c r="I198" i="10"/>
  <c r="E198" i="10"/>
  <c r="I197" i="10"/>
  <c r="E197" i="10"/>
  <c r="I196" i="10"/>
  <c r="E196" i="10"/>
  <c r="I195" i="10"/>
  <c r="E195" i="10"/>
  <c r="I194" i="10"/>
  <c r="E194" i="10"/>
  <c r="H193" i="10"/>
  <c r="H192" i="10" s="1"/>
  <c r="G192" i="10"/>
  <c r="F192" i="10"/>
  <c r="D192" i="10"/>
  <c r="C192" i="10"/>
  <c r="B192" i="10"/>
  <c r="H191" i="10"/>
  <c r="H190" i="10"/>
  <c r="G190" i="10"/>
  <c r="F190" i="10"/>
  <c r="D190" i="10"/>
  <c r="C190" i="10"/>
  <c r="B190" i="10"/>
  <c r="I187" i="10"/>
  <c r="E187" i="10"/>
  <c r="E182" i="10"/>
  <c r="I180" i="10"/>
  <c r="E180" i="10"/>
  <c r="H179" i="10"/>
  <c r="G179" i="10"/>
  <c r="F179" i="10"/>
  <c r="D179" i="10"/>
  <c r="C179" i="10"/>
  <c r="B179" i="10"/>
  <c r="I177" i="10"/>
  <c r="E177" i="10"/>
  <c r="I176" i="10"/>
  <c r="E176" i="10"/>
  <c r="H174" i="10"/>
  <c r="I174" i="10" s="1"/>
  <c r="D174" i="10"/>
  <c r="I173" i="10"/>
  <c r="D173" i="10"/>
  <c r="E173" i="10" s="1"/>
  <c r="I172" i="10"/>
  <c r="E172" i="10"/>
  <c r="I171" i="10"/>
  <c r="D171" i="10"/>
  <c r="E171" i="10" s="1"/>
  <c r="H170" i="10"/>
  <c r="I170" i="10" s="1"/>
  <c r="E170" i="10"/>
  <c r="G169" i="10"/>
  <c r="F169" i="10"/>
  <c r="C169" i="10"/>
  <c r="B169" i="10"/>
  <c r="H148" i="10"/>
  <c r="G148" i="10"/>
  <c r="F148" i="10"/>
  <c r="D148" i="10"/>
  <c r="C148" i="10"/>
  <c r="B148" i="10"/>
  <c r="I146" i="10"/>
  <c r="E146" i="10"/>
  <c r="I145" i="10"/>
  <c r="E145" i="10"/>
  <c r="I144" i="10"/>
  <c r="E144" i="10"/>
  <c r="I143" i="10"/>
  <c r="E143" i="10"/>
  <c r="I142" i="10"/>
  <c r="E142" i="10"/>
  <c r="I141" i="10"/>
  <c r="E141" i="10"/>
  <c r="D140" i="10"/>
  <c r="D139" i="10" s="1"/>
  <c r="H139" i="10"/>
  <c r="G139" i="10"/>
  <c r="F139" i="10"/>
  <c r="C139" i="10"/>
  <c r="B139" i="10"/>
  <c r="H138" i="10"/>
  <c r="I138" i="10" s="1"/>
  <c r="D138" i="10"/>
  <c r="H137" i="10"/>
  <c r="G137" i="10"/>
  <c r="F137" i="10"/>
  <c r="D137" i="10"/>
  <c r="C137" i="10"/>
  <c r="B137" i="10"/>
  <c r="I134" i="10"/>
  <c r="E134" i="10"/>
  <c r="I129" i="10"/>
  <c r="E129" i="10"/>
  <c r="I127" i="10"/>
  <c r="E127" i="10"/>
  <c r="H126" i="10"/>
  <c r="G126" i="10"/>
  <c r="F126" i="10"/>
  <c r="D126" i="10"/>
  <c r="D122" i="10" s="1"/>
  <c r="C126" i="10"/>
  <c r="B126" i="10"/>
  <c r="I124" i="10"/>
  <c r="E124" i="10"/>
  <c r="I123" i="10"/>
  <c r="E123" i="10"/>
  <c r="H121" i="10"/>
  <c r="H116" i="10" s="1"/>
  <c r="D121" i="10"/>
  <c r="I120" i="10"/>
  <c r="D120" i="10"/>
  <c r="E120" i="10" s="1"/>
  <c r="I119" i="10"/>
  <c r="D119" i="10"/>
  <c r="I118" i="10"/>
  <c r="E118" i="10"/>
  <c r="I117" i="10"/>
  <c r="D117" i="10"/>
  <c r="E117" i="10" s="1"/>
  <c r="G116" i="10"/>
  <c r="F116" i="10"/>
  <c r="C116" i="10"/>
  <c r="B116" i="10"/>
  <c r="H97" i="10"/>
  <c r="G97" i="10"/>
  <c r="F97" i="10"/>
  <c r="D97" i="10"/>
  <c r="C97" i="10"/>
  <c r="B97" i="10"/>
  <c r="I95" i="10"/>
  <c r="E95" i="10"/>
  <c r="I94" i="10"/>
  <c r="E94" i="10"/>
  <c r="I93" i="10"/>
  <c r="E93" i="10"/>
  <c r="I92" i="10"/>
  <c r="E92" i="10"/>
  <c r="I91" i="10"/>
  <c r="E91" i="10"/>
  <c r="I90" i="10"/>
  <c r="E90" i="10"/>
  <c r="H89" i="10"/>
  <c r="H88" i="10" s="1"/>
  <c r="G88" i="10"/>
  <c r="F88" i="10"/>
  <c r="D88" i="10"/>
  <c r="C88" i="10"/>
  <c r="B88" i="10"/>
  <c r="H86" i="10"/>
  <c r="G86" i="10"/>
  <c r="F86" i="10"/>
  <c r="D86" i="10"/>
  <c r="C86" i="10"/>
  <c r="B86" i="10"/>
  <c r="I83" i="10"/>
  <c r="E83" i="10"/>
  <c r="I82" i="10"/>
  <c r="E82" i="10"/>
  <c r="E78" i="10"/>
  <c r="I76" i="10"/>
  <c r="E76" i="10"/>
  <c r="H75" i="10"/>
  <c r="G75" i="10"/>
  <c r="F75" i="10"/>
  <c r="D75" i="10"/>
  <c r="C75" i="10"/>
  <c r="B75" i="10"/>
  <c r="I73" i="10"/>
  <c r="E73" i="10"/>
  <c r="I72" i="10"/>
  <c r="E72" i="10"/>
  <c r="H70" i="10"/>
  <c r="D70" i="10"/>
  <c r="D65" i="10" s="1"/>
  <c r="H69" i="10"/>
  <c r="I69" i="10" s="1"/>
  <c r="E69" i="10"/>
  <c r="I68" i="10"/>
  <c r="E68" i="10"/>
  <c r="I67" i="10"/>
  <c r="E67" i="10"/>
  <c r="I66" i="10"/>
  <c r="E66" i="10"/>
  <c r="G65" i="10"/>
  <c r="F65" i="10"/>
  <c r="C65" i="10"/>
  <c r="B65" i="10"/>
  <c r="H42" i="10"/>
  <c r="G42" i="10"/>
  <c r="F42" i="10"/>
  <c r="D42" i="10"/>
  <c r="C42" i="10"/>
  <c r="B42" i="10"/>
  <c r="I40" i="10"/>
  <c r="E40" i="10"/>
  <c r="I39" i="10"/>
  <c r="E39" i="10"/>
  <c r="I38" i="10"/>
  <c r="E38" i="10"/>
  <c r="I37" i="10"/>
  <c r="E37" i="10"/>
  <c r="I36" i="10"/>
  <c r="E36" i="10"/>
  <c r="I35" i="10"/>
  <c r="E35" i="10"/>
  <c r="D34" i="10"/>
  <c r="H33" i="10"/>
  <c r="G33" i="10"/>
  <c r="F33" i="10"/>
  <c r="C33" i="10"/>
  <c r="B33" i="10"/>
  <c r="H31" i="10"/>
  <c r="G31" i="10"/>
  <c r="F31" i="10"/>
  <c r="D31" i="10"/>
  <c r="C31" i="10"/>
  <c r="B31" i="10"/>
  <c r="I28" i="10"/>
  <c r="E28" i="10"/>
  <c r="I27" i="10"/>
  <c r="E27" i="10"/>
  <c r="I23" i="10"/>
  <c r="I21" i="10"/>
  <c r="E21" i="10"/>
  <c r="H20" i="10"/>
  <c r="G20" i="10"/>
  <c r="F20" i="10"/>
  <c r="D20" i="10"/>
  <c r="C20" i="10"/>
  <c r="B20" i="10"/>
  <c r="I18" i="10"/>
  <c r="E18" i="10"/>
  <c r="I17" i="10"/>
  <c r="E17" i="10"/>
  <c r="H15" i="10"/>
  <c r="D15" i="10"/>
  <c r="H14" i="10"/>
  <c r="I14" i="10" s="1"/>
  <c r="D14" i="10"/>
  <c r="E14" i="10" s="1"/>
  <c r="I13" i="10"/>
  <c r="E13" i="10"/>
  <c r="H12" i="10"/>
  <c r="I12" i="10" s="1"/>
  <c r="E12" i="10"/>
  <c r="I11" i="10"/>
  <c r="E11" i="10"/>
  <c r="G10" i="10"/>
  <c r="F10" i="10"/>
  <c r="C10" i="10"/>
  <c r="B10" i="10"/>
  <c r="F175" i="10" l="1"/>
  <c r="I348" i="10"/>
  <c r="H65" i="10"/>
  <c r="I65" i="10" s="1"/>
  <c r="I179" i="10"/>
  <c r="E88" i="10"/>
  <c r="H169" i="10"/>
  <c r="I169" i="10" s="1"/>
  <c r="E243" i="10"/>
  <c r="F350" i="10"/>
  <c r="C71" i="10"/>
  <c r="C100" i="10" s="1"/>
  <c r="C103" i="10" s="1"/>
  <c r="I86" i="10"/>
  <c r="I283" i="10"/>
  <c r="H349" i="10"/>
  <c r="E20" i="10"/>
  <c r="H16" i="10"/>
  <c r="H45" i="10" s="1"/>
  <c r="I33" i="10"/>
  <c r="I75" i="10"/>
  <c r="H220" i="10"/>
  <c r="I220" i="10" s="1"/>
  <c r="G226" i="10"/>
  <c r="G255" i="10" s="1"/>
  <c r="G258" i="10" s="1"/>
  <c r="E241" i="10"/>
  <c r="I344" i="10"/>
  <c r="I20" i="10"/>
  <c r="G289" i="10"/>
  <c r="G337" i="10" s="1"/>
  <c r="B274" i="10"/>
  <c r="B303" i="10" s="1"/>
  <c r="B306" i="10" s="1"/>
  <c r="E291" i="10"/>
  <c r="F16" i="10"/>
  <c r="F45" i="10" s="1"/>
  <c r="F48" i="10" s="1"/>
  <c r="D16" i="10"/>
  <c r="E75" i="10"/>
  <c r="F204" i="10"/>
  <c r="F207" i="10" s="1"/>
  <c r="I190" i="10"/>
  <c r="C226" i="10"/>
  <c r="C255" i="10" s="1"/>
  <c r="C258" i="10" s="1"/>
  <c r="F226" i="10"/>
  <c r="F255" i="10" s="1"/>
  <c r="F258" i="10" s="1"/>
  <c r="I323" i="10"/>
  <c r="B322" i="10"/>
  <c r="B353" i="10" s="1"/>
  <c r="B356" i="10" s="1"/>
  <c r="E86" i="10"/>
  <c r="I230" i="10"/>
  <c r="I333" i="10"/>
  <c r="D71" i="10"/>
  <c r="D100" i="10" s="1"/>
  <c r="D103" i="10" s="1"/>
  <c r="F71" i="10"/>
  <c r="F100" i="10" s="1"/>
  <c r="F103" i="10" s="1"/>
  <c r="E139" i="10"/>
  <c r="E179" i="10"/>
  <c r="E337" i="10"/>
  <c r="B175" i="10"/>
  <c r="B204" i="10" s="1"/>
  <c r="B207" i="10" s="1"/>
  <c r="E192" i="10"/>
  <c r="E220" i="10"/>
  <c r="H71" i="10"/>
  <c r="H100" i="10" s="1"/>
  <c r="B71" i="10"/>
  <c r="B100" i="10" s="1"/>
  <c r="B103" i="10" s="1"/>
  <c r="G71" i="10"/>
  <c r="G100" i="10" s="1"/>
  <c r="G103" i="10" s="1"/>
  <c r="D226" i="10"/>
  <c r="D255" i="10" s="1"/>
  <c r="G315" i="10"/>
  <c r="G327" i="10"/>
  <c r="F122" i="10"/>
  <c r="F151" i="10" s="1"/>
  <c r="F154" i="10" s="1"/>
  <c r="D169" i="10"/>
  <c r="E169" i="10" s="1"/>
  <c r="E230" i="10"/>
  <c r="I88" i="10"/>
  <c r="B122" i="10"/>
  <c r="B151" i="10" s="1"/>
  <c r="B154" i="10" s="1"/>
  <c r="D175" i="10"/>
  <c r="D204" i="10" s="1"/>
  <c r="H175" i="10"/>
  <c r="I192" i="10"/>
  <c r="I241" i="10"/>
  <c r="I243" i="10"/>
  <c r="I275" i="10"/>
  <c r="I293" i="10"/>
  <c r="I295" i="10"/>
  <c r="G300" i="10"/>
  <c r="G350" i="10" s="1"/>
  <c r="H341" i="10"/>
  <c r="I341" i="10" s="1"/>
  <c r="I345" i="10"/>
  <c r="B16" i="10"/>
  <c r="B45" i="10" s="1"/>
  <c r="B48" i="10" s="1"/>
  <c r="E65" i="10"/>
  <c r="G268" i="10"/>
  <c r="G278" i="10"/>
  <c r="I286" i="10"/>
  <c r="G291" i="10"/>
  <c r="G339" i="10" s="1"/>
  <c r="I126" i="10"/>
  <c r="C175" i="10"/>
  <c r="C204" i="10" s="1"/>
  <c r="C207" i="10" s="1"/>
  <c r="E190" i="10"/>
  <c r="B226" i="10"/>
  <c r="B255" i="10" s="1"/>
  <c r="B258" i="10" s="1"/>
  <c r="F278" i="10"/>
  <c r="C274" i="10"/>
  <c r="C303" i="10" s="1"/>
  <c r="C306" i="10" s="1"/>
  <c r="I296" i="10"/>
  <c r="D315" i="10"/>
  <c r="E315" i="10" s="1"/>
  <c r="D322" i="10"/>
  <c r="G331" i="10"/>
  <c r="I331" i="10" s="1"/>
  <c r="E339" i="10"/>
  <c r="D151" i="10"/>
  <c r="I31" i="10"/>
  <c r="G16" i="10"/>
  <c r="I298" i="10"/>
  <c r="H48" i="10"/>
  <c r="I116" i="10"/>
  <c r="H122" i="10"/>
  <c r="I137" i="10"/>
  <c r="G122" i="10"/>
  <c r="G151" i="10" s="1"/>
  <c r="G154" i="10" s="1"/>
  <c r="I199" i="10"/>
  <c r="I281" i="10"/>
  <c r="H329" i="10"/>
  <c r="I329" i="10" s="1"/>
  <c r="H270" i="10"/>
  <c r="H272" i="10"/>
  <c r="H269" i="10"/>
  <c r="D116" i="10"/>
  <c r="E116" i="10" s="1"/>
  <c r="I121" i="10"/>
  <c r="E126" i="10"/>
  <c r="E137" i="10"/>
  <c r="C122" i="10"/>
  <c r="C151" i="10" s="1"/>
  <c r="C154" i="10" s="1"/>
  <c r="I139" i="10"/>
  <c r="G175" i="10"/>
  <c r="G204" i="10" s="1"/>
  <c r="G207" i="10" s="1"/>
  <c r="E270" i="10"/>
  <c r="D268" i="10"/>
  <c r="E268" i="10" s="1"/>
  <c r="F291" i="10"/>
  <c r="F339" i="10" s="1"/>
  <c r="I297" i="10"/>
  <c r="H347" i="10"/>
  <c r="I347" i="10" s="1"/>
  <c r="H273" i="10"/>
  <c r="E31" i="10"/>
  <c r="C16" i="10"/>
  <c r="H292" i="10"/>
  <c r="D33" i="10"/>
  <c r="H271" i="10"/>
  <c r="E119" i="10"/>
  <c r="H290" i="10"/>
  <c r="H324" i="10"/>
  <c r="I324" i="10" s="1"/>
  <c r="I276" i="10"/>
  <c r="E289" i="10"/>
  <c r="D274" i="10"/>
  <c r="F316" i="10"/>
  <c r="F315" i="10" s="1"/>
  <c r="F268" i="10"/>
  <c r="I279" i="10"/>
  <c r="H327" i="10"/>
  <c r="F289" i="10"/>
  <c r="F337" i="10" s="1"/>
  <c r="I355" i="10"/>
  <c r="D10" i="10"/>
  <c r="E10" i="10" s="1"/>
  <c r="H10" i="10"/>
  <c r="I10" i="10" s="1"/>
  <c r="H289" i="10"/>
  <c r="H334" i="10"/>
  <c r="I334" i="10" s="1"/>
  <c r="G342" i="10"/>
  <c r="I342" i="10" s="1"/>
  <c r="H343" i="10"/>
  <c r="I343" i="10" s="1"/>
  <c r="H300" i="10"/>
  <c r="H350" i="10" s="1"/>
  <c r="H226" i="10"/>
  <c r="E278" i="10"/>
  <c r="I285" i="10"/>
  <c r="I294" i="10"/>
  <c r="C353" i="10"/>
  <c r="C356" i="10" s="1"/>
  <c r="I336" i="10"/>
  <c r="H278" i="10"/>
  <c r="F323" i="10"/>
  <c r="F98" i="7"/>
  <c r="F97" i="7"/>
  <c r="F96" i="7"/>
  <c r="F95" i="7"/>
  <c r="F94" i="7"/>
  <c r="F93" i="7"/>
  <c r="F92" i="7"/>
  <c r="F90" i="7"/>
  <c r="F89" i="7"/>
  <c r="F88" i="7"/>
  <c r="F87" i="7"/>
  <c r="F85" i="7"/>
  <c r="F84" i="7"/>
  <c r="F83" i="7"/>
  <c r="F82" i="7"/>
  <c r="F79" i="7"/>
  <c r="F78" i="7"/>
  <c r="F77" i="7"/>
  <c r="F76" i="7"/>
  <c r="F73" i="7"/>
  <c r="F69" i="7"/>
  <c r="F59" i="7"/>
  <c r="F57" i="7"/>
  <c r="F56" i="7"/>
  <c r="F53" i="7"/>
  <c r="F51" i="7"/>
  <c r="F50" i="7"/>
  <c r="F49" i="7"/>
  <c r="F48" i="7"/>
  <c r="F46" i="7"/>
  <c r="F44" i="7"/>
  <c r="F43" i="7"/>
  <c r="F42" i="7"/>
  <c r="F41" i="7"/>
  <c r="F40" i="7"/>
  <c r="F39" i="7"/>
  <c r="F38" i="7"/>
  <c r="E100" i="10" l="1"/>
  <c r="E71" i="10"/>
  <c r="E175" i="10"/>
  <c r="E103" i="10"/>
  <c r="I327" i="10"/>
  <c r="H103" i="10"/>
  <c r="I103" i="10" s="1"/>
  <c r="I100" i="10"/>
  <c r="G274" i="10"/>
  <c r="G322" i="10" s="1"/>
  <c r="I175" i="10"/>
  <c r="I71" i="10"/>
  <c r="E226" i="10"/>
  <c r="H204" i="10"/>
  <c r="I204" i="10" s="1"/>
  <c r="F274" i="10"/>
  <c r="F322" i="10" s="1"/>
  <c r="D353" i="10"/>
  <c r="D356" i="10" s="1"/>
  <c r="E356" i="10" s="1"/>
  <c r="E322" i="10"/>
  <c r="G326" i="10"/>
  <c r="F326" i="10"/>
  <c r="H255" i="10"/>
  <c r="I226" i="10"/>
  <c r="I16" i="10"/>
  <c r="G45" i="10"/>
  <c r="I273" i="10"/>
  <c r="H320" i="10"/>
  <c r="I320" i="10" s="1"/>
  <c r="H316" i="10"/>
  <c r="H268" i="10"/>
  <c r="I268" i="10" s="1"/>
  <c r="I269" i="10"/>
  <c r="H326" i="10"/>
  <c r="H274" i="10"/>
  <c r="I278" i="10"/>
  <c r="D258" i="10"/>
  <c r="E258" i="10" s="1"/>
  <c r="E255" i="10"/>
  <c r="H318" i="10"/>
  <c r="I318" i="10" s="1"/>
  <c r="I271" i="10"/>
  <c r="H291" i="10"/>
  <c r="H340" i="10"/>
  <c r="G303" i="10"/>
  <c r="H319" i="10"/>
  <c r="I319" i="10" s="1"/>
  <c r="I272" i="10"/>
  <c r="H151" i="10"/>
  <c r="I122" i="10"/>
  <c r="E122" i="10"/>
  <c r="I290" i="10"/>
  <c r="H338" i="10"/>
  <c r="I338" i="10" s="1"/>
  <c r="E204" i="10"/>
  <c r="D207" i="10"/>
  <c r="E207" i="10" s="1"/>
  <c r="E274" i="10"/>
  <c r="D303" i="10"/>
  <c r="E33" i="10"/>
  <c r="D45" i="10"/>
  <c r="I289" i="10"/>
  <c r="H337" i="10"/>
  <c r="I337" i="10" s="1"/>
  <c r="C45" i="10"/>
  <c r="C48" i="10" s="1"/>
  <c r="E16" i="10"/>
  <c r="I270" i="10"/>
  <c r="H317" i="10"/>
  <c r="I317" i="10" s="1"/>
  <c r="E151" i="10"/>
  <c r="D154" i="10"/>
  <c r="E154" i="10" s="1"/>
  <c r="K136" i="6"/>
  <c r="K135" i="6"/>
  <c r="K134" i="6"/>
  <c r="K133" i="6"/>
  <c r="L125" i="6"/>
  <c r="K125" i="6"/>
  <c r="K124" i="6"/>
  <c r="K121" i="6"/>
  <c r="L120" i="6"/>
  <c r="K120" i="6"/>
  <c r="K119" i="6"/>
  <c r="K111" i="6"/>
  <c r="K110" i="6"/>
  <c r="K109" i="6"/>
  <c r="K108" i="6"/>
  <c r="K107" i="6"/>
  <c r="L104" i="6"/>
  <c r="K104" i="6"/>
  <c r="K103" i="6"/>
  <c r="K102" i="6"/>
  <c r="K99" i="6"/>
  <c r="K98" i="6"/>
  <c r="K97" i="6"/>
  <c r="L95" i="6"/>
  <c r="L92" i="6"/>
  <c r="K92" i="6"/>
  <c r="L91" i="6"/>
  <c r="K91" i="6"/>
  <c r="K89" i="6"/>
  <c r="L88" i="6"/>
  <c r="K87" i="6"/>
  <c r="K86" i="6"/>
  <c r="K84" i="6"/>
  <c r="K83" i="6"/>
  <c r="L81" i="6"/>
  <c r="K81" i="6"/>
  <c r="L73" i="6"/>
  <c r="K73" i="6"/>
  <c r="K72" i="6"/>
  <c r="K70" i="6"/>
  <c r="L69" i="6"/>
  <c r="K69" i="6"/>
  <c r="K68" i="6"/>
  <c r="K65" i="6"/>
  <c r="K64" i="6"/>
  <c r="K63" i="6"/>
  <c r="K62" i="6"/>
  <c r="K61" i="6"/>
  <c r="L60" i="6"/>
  <c r="L59" i="6"/>
  <c r="K59" i="6"/>
  <c r="K57" i="6"/>
  <c r="K56" i="6"/>
  <c r="K55" i="6"/>
  <c r="K54" i="6"/>
  <c r="K53" i="6"/>
  <c r="K52" i="6"/>
  <c r="K51" i="6"/>
  <c r="K50" i="6"/>
  <c r="K49" i="6"/>
  <c r="K48" i="6"/>
  <c r="K47" i="6"/>
  <c r="K45" i="6"/>
  <c r="L44" i="6"/>
  <c r="K44" i="6"/>
  <c r="L33" i="6"/>
  <c r="K33" i="6"/>
  <c r="K32" i="6"/>
  <c r="L31" i="6"/>
  <c r="K31" i="6"/>
  <c r="K30" i="6"/>
  <c r="L29" i="6"/>
  <c r="K29" i="6"/>
  <c r="K25" i="6"/>
  <c r="K24" i="6"/>
  <c r="K23" i="6"/>
  <c r="K22" i="6"/>
  <c r="K19" i="6"/>
  <c r="L18" i="6"/>
  <c r="K18" i="6"/>
  <c r="K15" i="6"/>
  <c r="L14" i="6"/>
  <c r="K14" i="6"/>
  <c r="K13" i="6"/>
  <c r="K12" i="6"/>
  <c r="K11" i="6"/>
  <c r="K10" i="6"/>
  <c r="K8" i="6"/>
  <c r="F62" i="5"/>
  <c r="F61" i="5"/>
  <c r="F57" i="5"/>
  <c r="F56" i="5"/>
  <c r="F55" i="5"/>
  <c r="F54" i="5"/>
  <c r="F50" i="5"/>
  <c r="F49" i="5"/>
  <c r="F48" i="5"/>
  <c r="F46" i="5"/>
  <c r="F45" i="5"/>
  <c r="F44" i="5"/>
  <c r="F43" i="5"/>
  <c r="F42" i="5"/>
  <c r="F41" i="5"/>
  <c r="F40" i="5"/>
  <c r="F39" i="5"/>
  <c r="F38" i="5"/>
  <c r="F37" i="5"/>
  <c r="F31" i="5"/>
  <c r="F30" i="5"/>
  <c r="F29" i="5"/>
  <c r="F25" i="5"/>
  <c r="F24" i="5"/>
  <c r="F23" i="5"/>
  <c r="F22" i="5"/>
  <c r="F21" i="5"/>
  <c r="F20" i="5"/>
  <c r="F19" i="5"/>
  <c r="F18" i="5"/>
  <c r="F15" i="5"/>
  <c r="F14" i="5"/>
  <c r="F13" i="5"/>
  <c r="F12" i="5"/>
  <c r="F11" i="5"/>
  <c r="F10" i="5"/>
  <c r="F9" i="5"/>
  <c r="F8" i="5"/>
  <c r="H207" i="10" l="1"/>
  <c r="I207" i="10" s="1"/>
  <c r="F303" i="10"/>
  <c r="E353" i="10"/>
  <c r="I326" i="10"/>
  <c r="H322" i="10"/>
  <c r="I322" i="10" s="1"/>
  <c r="I274" i="10"/>
  <c r="H303" i="10"/>
  <c r="G48" i="10"/>
  <c r="I48" i="10" s="1"/>
  <c r="I45" i="10"/>
  <c r="E303" i="10"/>
  <c r="D306" i="10"/>
  <c r="E306" i="10" s="1"/>
  <c r="H315" i="10"/>
  <c r="I315" i="10" s="1"/>
  <c r="I316" i="10"/>
  <c r="I291" i="10"/>
  <c r="H339" i="10"/>
  <c r="I339" i="10" s="1"/>
  <c r="E45" i="10"/>
  <c r="D48" i="10"/>
  <c r="E48" i="10" s="1"/>
  <c r="F353" i="10"/>
  <c r="F306" i="10"/>
  <c r="F356" i="10" s="1"/>
  <c r="I151" i="10"/>
  <c r="H154" i="10"/>
  <c r="I154" i="10" s="1"/>
  <c r="G353" i="10"/>
  <c r="G306" i="10"/>
  <c r="G356" i="10" s="1"/>
  <c r="H258" i="10"/>
  <c r="I258" i="10" s="1"/>
  <c r="I255" i="10"/>
  <c r="E59" i="5"/>
  <c r="I303" i="10" l="1"/>
  <c r="H306" i="10"/>
  <c r="H353" i="10"/>
  <c r="I353" i="10" s="1"/>
  <c r="F22" i="7"/>
  <c r="F20" i="7"/>
  <c r="F19" i="7"/>
  <c r="F15" i="7"/>
  <c r="F14" i="7"/>
  <c r="I306" i="10" l="1"/>
  <c r="H356" i="10"/>
  <c r="I356" i="10" s="1"/>
  <c r="E80" i="7"/>
  <c r="E72" i="7"/>
  <c r="E71" i="7"/>
  <c r="E36" i="7"/>
  <c r="E9" i="7"/>
  <c r="J145" i="6"/>
  <c r="J144" i="6"/>
  <c r="J143" i="6"/>
  <c r="I138" i="6"/>
  <c r="J127" i="6"/>
  <c r="I127" i="6"/>
  <c r="J122" i="6"/>
  <c r="I122" i="6"/>
  <c r="J105" i="6"/>
  <c r="I105" i="6"/>
  <c r="J100" i="6"/>
  <c r="I100" i="6"/>
  <c r="J93" i="6"/>
  <c r="I93" i="6"/>
  <c r="J74" i="6"/>
  <c r="I74" i="6"/>
  <c r="J66" i="6"/>
  <c r="I66" i="6"/>
  <c r="J34" i="6"/>
  <c r="I34" i="6"/>
  <c r="J26" i="6"/>
  <c r="I26" i="6"/>
  <c r="J20" i="6"/>
  <c r="I20" i="6"/>
  <c r="J16" i="6"/>
  <c r="I16" i="6"/>
  <c r="E52" i="5"/>
  <c r="E47" i="5"/>
  <c r="E28" i="5"/>
  <c r="E17" i="5"/>
  <c r="E6" i="5"/>
  <c r="D80" i="7"/>
  <c r="D70" i="7" s="1"/>
  <c r="C80" i="7"/>
  <c r="C70" i="7" s="1"/>
  <c r="D72" i="7"/>
  <c r="C72" i="7"/>
  <c r="D71" i="7"/>
  <c r="C71" i="7"/>
  <c r="D67" i="7"/>
  <c r="F67" i="7" s="1"/>
  <c r="C67" i="7"/>
  <c r="D36" i="7"/>
  <c r="C36" i="7"/>
  <c r="D9" i="7"/>
  <c r="C9" i="7"/>
  <c r="H145" i="6"/>
  <c r="F145" i="6"/>
  <c r="H144" i="6"/>
  <c r="F144" i="6"/>
  <c r="H143" i="6"/>
  <c r="F143" i="6"/>
  <c r="G138" i="6"/>
  <c r="G145" i="6" s="1"/>
  <c r="E138" i="6"/>
  <c r="E145" i="6" s="1"/>
  <c r="H127" i="6"/>
  <c r="G127" i="6"/>
  <c r="F127" i="6"/>
  <c r="E127" i="6"/>
  <c r="H122" i="6"/>
  <c r="G122" i="6"/>
  <c r="F122" i="6"/>
  <c r="E122" i="6"/>
  <c r="H105" i="6"/>
  <c r="G105" i="6"/>
  <c r="F105" i="6"/>
  <c r="E105" i="6"/>
  <c r="H100" i="6"/>
  <c r="G100" i="6"/>
  <c r="F100" i="6"/>
  <c r="E100" i="6"/>
  <c r="H93" i="6"/>
  <c r="G93" i="6"/>
  <c r="F93" i="6"/>
  <c r="E93" i="6"/>
  <c r="H74" i="6"/>
  <c r="G74" i="6"/>
  <c r="F74" i="6"/>
  <c r="E74" i="6"/>
  <c r="H66" i="6"/>
  <c r="G66" i="6"/>
  <c r="F66" i="6"/>
  <c r="E66" i="6"/>
  <c r="H34" i="6"/>
  <c r="G34" i="6"/>
  <c r="F34" i="6"/>
  <c r="E34" i="6"/>
  <c r="H26" i="6"/>
  <c r="G26" i="6"/>
  <c r="F26" i="6"/>
  <c r="E26" i="6"/>
  <c r="H20" i="6"/>
  <c r="G20" i="6"/>
  <c r="F20" i="6"/>
  <c r="E20" i="6"/>
  <c r="H16" i="6"/>
  <c r="G16" i="6"/>
  <c r="G129" i="6" s="1"/>
  <c r="G143" i="6" s="1"/>
  <c r="F16" i="6"/>
  <c r="F129" i="6" s="1"/>
  <c r="E144" i="6" s="1"/>
  <c r="E16" i="6"/>
  <c r="E129" i="6" s="1"/>
  <c r="E143" i="6" s="1"/>
  <c r="D59" i="5"/>
  <c r="F59" i="5" s="1"/>
  <c r="C59" i="5"/>
  <c r="D52" i="5"/>
  <c r="C52" i="5"/>
  <c r="D47" i="5"/>
  <c r="C47" i="5"/>
  <c r="D28" i="5"/>
  <c r="D27" i="5" s="1"/>
  <c r="C28" i="5"/>
  <c r="C27" i="5" s="1"/>
  <c r="D17" i="5"/>
  <c r="C17" i="5"/>
  <c r="D6" i="5"/>
  <c r="C6" i="5"/>
  <c r="F71" i="7" l="1"/>
  <c r="C66" i="7"/>
  <c r="F72" i="7"/>
  <c r="D66" i="7"/>
  <c r="F66" i="7" s="1"/>
  <c r="F9" i="7"/>
  <c r="E70" i="7"/>
  <c r="F70" i="7" s="1"/>
  <c r="F80" i="7"/>
  <c r="F36" i="7"/>
  <c r="K16" i="6"/>
  <c r="K26" i="6"/>
  <c r="K93" i="6"/>
  <c r="K105" i="6"/>
  <c r="L16" i="6"/>
  <c r="L66" i="6"/>
  <c r="L93" i="6"/>
  <c r="L105" i="6"/>
  <c r="L127" i="6"/>
  <c r="K20" i="6"/>
  <c r="K34" i="6"/>
  <c r="K74" i="6"/>
  <c r="K100" i="6"/>
  <c r="K122" i="6"/>
  <c r="I145" i="6"/>
  <c r="K145" i="6" s="1"/>
  <c r="K138" i="6"/>
  <c r="K66" i="6"/>
  <c r="K127" i="6"/>
  <c r="L20" i="6"/>
  <c r="L34" i="6"/>
  <c r="L74" i="6"/>
  <c r="L100" i="6"/>
  <c r="L122" i="6"/>
  <c r="F17" i="5"/>
  <c r="E27" i="5"/>
  <c r="F27" i="5" s="1"/>
  <c r="F28" i="5"/>
  <c r="F47" i="5"/>
  <c r="F6" i="5"/>
  <c r="F52" i="5"/>
  <c r="H129" i="6"/>
  <c r="G144" i="6" s="1"/>
  <c r="G146" i="6" s="1"/>
  <c r="I129" i="6"/>
  <c r="J129" i="6"/>
  <c r="E5" i="5"/>
  <c r="C5" i="5"/>
  <c r="C65" i="5" s="1"/>
  <c r="D5" i="5"/>
  <c r="D65" i="5" s="1"/>
  <c r="E146" i="6"/>
  <c r="I144" i="6" l="1"/>
  <c r="K144" i="6" s="1"/>
  <c r="L129" i="6"/>
  <c r="I143" i="6"/>
  <c r="K143" i="6" s="1"/>
  <c r="K129" i="6"/>
  <c r="E65" i="5"/>
  <c r="F65" i="5" s="1"/>
  <c r="F5" i="5"/>
  <c r="I146" i="6" l="1"/>
  <c r="K146" i="6" s="1"/>
</calcChain>
</file>

<file path=xl/sharedStrings.xml><?xml version="1.0" encoding="utf-8"?>
<sst xmlns="http://schemas.openxmlformats.org/spreadsheetml/2006/main" count="793" uniqueCount="326">
  <si>
    <t>Tab. č. 1/1                v EUR</t>
  </si>
  <si>
    <t>U k a z o v a t e ľ</t>
  </si>
  <si>
    <t>BEŽNÉ  PRÍJMY:</t>
  </si>
  <si>
    <t>Daňové príjmy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</si>
  <si>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</si>
  <si>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</si>
  <si>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</si>
  <si>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</si>
  <si>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</si>
  <si>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</si>
  <si>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</si>
  <si>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</si>
  <si>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</si>
  <si>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 xml:space="preserve">Nedaňové príjmy 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</si>
  <si>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</si>
  <si>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</si>
  <si>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</si>
  <si>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</si>
  <si>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</si>
  <si>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Úroky</t>
  </si>
  <si>
    <t xml:space="preserve">Ostatné nedaňové príjmy </t>
  </si>
  <si>
    <t xml:space="preserve">Granty a transfery 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</si>
  <si>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</si>
  <si>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</si>
  <si>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</si>
  <si>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</si>
  <si>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>Tab. č. 1/2                v EUR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</si>
  <si>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</si>
  <si>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</si>
  <si>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</si>
  <si>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</si>
  <si>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</si>
  <si>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</si>
  <si>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ochrana prírody a krajiny</t>
  </si>
  <si>
    <t>Granty, sponzorské dary</t>
  </si>
  <si>
    <t>Dotácie - prostriedky EU a ŠR na projekty, voľby, sčít.ľudu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</si>
  <si>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</si>
  <si>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</si>
  <si>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</si>
  <si>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</si>
  <si>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Príjmy z  predaja majetku</t>
  </si>
  <si>
    <t xml:space="preserve"> - z predaja pozemkov</t>
  </si>
  <si>
    <t xml:space="preserve"> - z predaja bytov, nebyt. priest., objektov</t>
  </si>
  <si>
    <t xml:space="preserve"> - z predaja nehnuteľného majetku hl. mesta</t>
  </si>
  <si>
    <t>Kapitálové transfery</t>
  </si>
  <si>
    <t>FINANČNÉ OPERÁCIE:</t>
  </si>
  <si>
    <t>Prostriedky prevedené</t>
  </si>
  <si>
    <t xml:space="preserve"> - z Rezervného fondu</t>
  </si>
  <si>
    <t xml:space="preserve"> - zo zostatku dotácií z predchádzajúcich rokov</t>
  </si>
  <si>
    <t>PRÍJMY  SPOLU</t>
  </si>
  <si>
    <t>Tab.č. 2/1                              v EUR</t>
  </si>
  <si>
    <t>Číslo programu</t>
  </si>
  <si>
    <t xml:space="preserve">Názov </t>
  </si>
  <si>
    <t>Bežné výdavky</t>
  </si>
  <si>
    <t>Kapit. výd.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</si>
  <si>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</si>
  <si>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</si>
  <si>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</si>
  <si>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</si>
  <si>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</si>
  <si>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</si>
  <si>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</si>
  <si>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</si>
  <si>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</si>
  <si>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</si>
  <si>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</si>
  <si>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</si>
  <si>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</si>
  <si>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</si>
  <si>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</si>
  <si>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</si>
  <si>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</si>
  <si>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</si>
  <si>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</si>
  <si>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</si>
  <si>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</si>
  <si>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</si>
  <si>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</si>
  <si>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</si>
  <si>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</si>
  <si>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</si>
  <si>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</si>
  <si>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</si>
  <si>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</si>
  <si>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</si>
  <si>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</si>
  <si>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</si>
  <si>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</si>
  <si>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Tab.č. 2/2                              v EUR</t>
  </si>
  <si>
    <t>Vzdelávanie</t>
  </si>
  <si>
    <t>Predškolské vzdelávanie</t>
  </si>
  <si>
    <t>Materské školy</t>
  </si>
  <si>
    <t>Stredisko služieb školám a ŠZ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</si>
  <si>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</si>
  <si>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</si>
  <si>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</si>
  <si>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</si>
  <si>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</si>
  <si>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</si>
  <si>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</si>
  <si>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</si>
  <si>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</si>
  <si>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</si>
  <si>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</si>
  <si>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</si>
  <si>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</si>
  <si>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</si>
  <si>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</si>
  <si>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</si>
  <si>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</si>
  <si>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</si>
  <si>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</si>
  <si>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</si>
  <si>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</si>
  <si>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</si>
  <si>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</si>
  <si>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</si>
  <si>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</si>
  <si>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</si>
  <si>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</si>
  <si>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</si>
  <si>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</si>
  <si>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</si>
  <si>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</si>
  <si>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</si>
  <si>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</si>
  <si>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Rozvoj športu</t>
  </si>
  <si>
    <t>Program č. 6 spolu</t>
  </si>
  <si>
    <t>Tab.č. 2/3                              v EUR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</si>
  <si>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</si>
  <si>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</si>
  <si>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</si>
  <si>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</si>
  <si>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</si>
  <si>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</si>
  <si>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</si>
  <si>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</si>
  <si>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</si>
  <si>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Podpora vodnej záchrannej služby</t>
  </si>
  <si>
    <t>Činnosť MP VPS</t>
  </si>
  <si>
    <t>Údržba a čistota verej. detských ihrísk</t>
  </si>
  <si>
    <t>Ostatná činnosť MP VPS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</si>
  <si>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</si>
  <si>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</si>
  <si>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</si>
  <si>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</si>
  <si>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</si>
  <si>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</si>
  <si>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</si>
  <si>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</si>
  <si>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</si>
  <si>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</si>
  <si>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</si>
  <si>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</si>
  <si>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</si>
  <si>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</si>
  <si>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</si>
  <si>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</si>
  <si>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</si>
  <si>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</si>
  <si>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</si>
  <si>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Tab.č. 2/4               v EUR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</si>
  <si>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</si>
  <si>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</si>
  <si>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</si>
  <si>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</si>
  <si>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</si>
  <si>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</si>
  <si>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</si>
  <si>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</si>
  <si>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</si>
  <si>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</si>
  <si>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</si>
  <si>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Splátky úverov</t>
  </si>
  <si>
    <t>Splátky finančného prenájmu</t>
  </si>
  <si>
    <t>Sumarizácia výdavkov</t>
  </si>
  <si>
    <t>Kapitálové výdavky</t>
  </si>
  <si>
    <t>Výdavky spolu</t>
  </si>
  <si>
    <t>príspevkovej organizácie mestskej časti -</t>
  </si>
  <si>
    <t>Miestneho podniku verejnoprospešných služieb Petržalka</t>
  </si>
  <si>
    <t>Tab. č. 3                 v EUR</t>
  </si>
  <si>
    <t xml:space="preserve">Transfer z rozpočtu MČ na bežné výdavky                   </t>
  </si>
  <si>
    <t xml:space="preserve">v tom progr.:                  </t>
  </si>
  <si>
    <t xml:space="preserve">            7.1 - starostlivosť o zeleň                  </t>
  </si>
  <si>
    <t xml:space="preserve">           4.1.1 - oprava a údržba komunikácií</t>
  </si>
  <si>
    <t xml:space="preserve">           7.4.1. - údržba a čistova verej. detských ihrísk</t>
  </si>
  <si>
    <t xml:space="preserve">           7.4.2. - ostatná činnosť MP VPS</t>
  </si>
  <si>
    <t xml:space="preserve">           7.3.1. - poplatky za odvoz odpadu</t>
  </si>
  <si>
    <t xml:space="preserve">Transf. z rozpočtu MČ na kapitálové výdavky        </t>
  </si>
  <si>
    <t xml:space="preserve"> mestskej časti Bratislava-Petržalka na úseku kultúry</t>
  </si>
  <si>
    <t>Kultúrne zariadenia Petržalky</t>
  </si>
  <si>
    <t xml:space="preserve">Transfer z rozpočtu MČ na prevádzku       </t>
  </si>
  <si>
    <t xml:space="preserve">v tom program : 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</si>
  <si>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</si>
  <si>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</si>
  <si>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</si>
  <si>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</si>
  <si>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</si>
  <si>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</si>
  <si>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</si>
  <si>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</si>
  <si>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</si>
  <si>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 xml:space="preserve">Príjmy                                                                         </t>
  </si>
  <si>
    <t>Tab. č. 5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</si>
  <si>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</si>
  <si>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</si>
  <si>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</si>
  <si>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</si>
  <si>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</si>
  <si>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Príjmy                                                          </t>
  </si>
  <si>
    <t xml:space="preserve"> - z toho dotácia z EÚ a zo ŠR na opatrovateľskú službu</t>
  </si>
  <si>
    <t>v tom:</t>
  </si>
  <si>
    <t>Správa organizácie - progr. 10.6.2</t>
  </si>
  <si>
    <t xml:space="preserve"> bežné výdavky spolu</t>
  </si>
  <si>
    <t xml:space="preserve"> príjmy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</si>
  <si>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</si>
  <si>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</si>
  <si>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</si>
  <si>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</si>
  <si>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</si>
  <si>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</si>
  <si>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</si>
  <si>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              ohlasovňa pobytu a register adries</t>
  </si>
  <si>
    <t>% plnenia</t>
  </si>
  <si>
    <t>Plnenie rozpočtu príjmov</t>
  </si>
  <si>
    <t>Administratívne poplatky</t>
  </si>
  <si>
    <t>Zábezpeky, cudzie prostriedky</t>
  </si>
  <si>
    <t>Vrátenie zábezpek a cudzích prostriedkov</t>
  </si>
  <si>
    <t>Rozpočet 2020</t>
  </si>
  <si>
    <t>Rozpočet 2020 po úpravách 6.</t>
  </si>
  <si>
    <t>Príjmy rozpočtových organizácií</t>
  </si>
  <si>
    <t xml:space="preserve">Rozpočet 2020 </t>
  </si>
  <si>
    <t>Tab. č. 4                v EUR</t>
  </si>
  <si>
    <t xml:space="preserve">         6.2 - činnosť KZP</t>
  </si>
  <si>
    <t xml:space="preserve">         6.3 - Kultúrne podujatia - Letné dni Petržalky</t>
  </si>
  <si>
    <t xml:space="preserve">         6.3 - Kultúrne podujatia - Seniorfest</t>
  </si>
  <si>
    <t xml:space="preserve">         6.3 - Kultúrne podujatia - Petrž. Ples</t>
  </si>
  <si>
    <t xml:space="preserve">         6.3 - Kultúrne podujatia - Petrž. Vianoč.trhy</t>
  </si>
  <si>
    <t xml:space="preserve">         6.3 - Kultúrne podujatia - propag. MČ na Hl.nám.</t>
  </si>
  <si>
    <t xml:space="preserve">         6.3 - Podpora detských folklórnch súborov</t>
  </si>
  <si>
    <t xml:space="preserve">Kapitálové granty a transfery z iných zdrojov </t>
  </si>
  <si>
    <t>Strediska sociálnych služieb Petržalka</t>
  </si>
  <si>
    <t>kapitálové výdavky</t>
  </si>
  <si>
    <t xml:space="preserve">Prepravná služba          </t>
  </si>
  <si>
    <t>Rozpočet 2020 po zmenách</t>
  </si>
  <si>
    <t>Plnenie k 30.6.2020</t>
  </si>
  <si>
    <t xml:space="preserve">Vlastné príjmy   </t>
  </si>
  <si>
    <t xml:space="preserve">- z toho bežné výdavky           </t>
  </si>
  <si>
    <t>mestskej časti Bratislava-Petržalka k 30.6.2020</t>
  </si>
  <si>
    <t>Rozpočet 2020                            po zmenách</t>
  </si>
  <si>
    <t>Plnenie rozpočtu výdavkov mestskej časti Bratislava-Petržalka k 30.6.2020</t>
  </si>
  <si>
    <t xml:space="preserve">Plnenie záväzných ukazovateľov </t>
  </si>
  <si>
    <t xml:space="preserve">k 30.6.2020 </t>
  </si>
  <si>
    <t>Plnenie záväzných ukazovateľov rozpočtových organizácií</t>
  </si>
  <si>
    <t>Plnenie záväzných ukazovateľov rozpočtovej organizácie</t>
  </si>
  <si>
    <t>Plnenie rozpočtu príjmov a výdavkov podľa jednotlivých organizácií</t>
  </si>
  <si>
    <t>na úseku školstva k 30.6.2020</t>
  </si>
  <si>
    <t xml:space="preserve">         Tab. č. 6/1</t>
  </si>
  <si>
    <t>v EUR</t>
  </si>
  <si>
    <t>Ukazovateľ</t>
  </si>
  <si>
    <t xml:space="preserve">ZŠ Budatínska </t>
  </si>
  <si>
    <t>ZŠ Černyševského</t>
  </si>
  <si>
    <t xml:space="preserve">P R Í J M Y  C E L K O M </t>
  </si>
  <si>
    <t>poplatky</t>
  </si>
  <si>
    <t>stravné</t>
  </si>
  <si>
    <t>prenájmy</t>
  </si>
  <si>
    <t>príspevok na nákup potravín</t>
  </si>
  <si>
    <t>Iné- granty,dobropisy,úroky...</t>
  </si>
  <si>
    <t>Bežné výdavky zo ŠR spolu</t>
  </si>
  <si>
    <t>ZŠ mzdy a odvody ŠR</t>
  </si>
  <si>
    <t>ZŠ tovary a služby ŠR</t>
  </si>
  <si>
    <t>ZŠ tovary a služby ŠR z min.roku</t>
  </si>
  <si>
    <r>
      <rPr>
        <b/>
        <i/>
        <u/>
        <sz val="10"/>
        <rFont val="Arial CE"/>
        <charset val="238"/>
      </rPr>
      <t>BV normatívne</t>
    </r>
    <r>
      <rPr>
        <b/>
        <i/>
        <sz val="10"/>
        <rFont val="Arial CE"/>
        <charset val="238"/>
      </rPr>
      <t xml:space="preserve"> na prenes. komp. zo ŠR  spolu</t>
    </r>
  </si>
  <si>
    <t xml:space="preserve">            vzdelávacie poukazy</t>
  </si>
  <si>
    <t xml:space="preserve">            odchodné</t>
  </si>
  <si>
    <t xml:space="preserve">            asistent učiteľa</t>
  </si>
  <si>
    <t xml:space="preserve">            mimor. výsledky žiakov</t>
  </si>
  <si>
    <t xml:space="preserve">            sociál. znevýhod. prostr.</t>
  </si>
  <si>
    <t xml:space="preserve">            príspevok na učebnice</t>
  </si>
  <si>
    <t xml:space="preserve">            lyžiarsky kurz</t>
  </si>
  <si>
    <t xml:space="preserve">            škola v prírode</t>
  </si>
  <si>
    <t xml:space="preserve">            enviroprojekt</t>
  </si>
  <si>
    <t xml:space="preserve">      predškolská výchova v MŠ</t>
  </si>
  <si>
    <r>
      <rPr>
        <b/>
        <i/>
        <u/>
        <sz val="10"/>
        <rFont val="Arial CE"/>
        <charset val="238"/>
      </rPr>
      <t>Nenormatívne výd.</t>
    </r>
    <r>
      <rPr>
        <b/>
        <i/>
        <sz val="10"/>
        <rFont val="Arial CE"/>
        <charset val="238"/>
      </rPr>
      <t xml:space="preserve"> zo ŠR spolu</t>
    </r>
  </si>
  <si>
    <r>
      <rPr>
        <b/>
        <i/>
        <u/>
        <sz val="10"/>
        <rFont val="Arial CE"/>
        <charset val="238"/>
      </rPr>
      <t>Iné prostr.</t>
    </r>
    <r>
      <rPr>
        <b/>
        <i/>
        <sz val="10"/>
        <rFont val="Arial CE"/>
        <charset val="238"/>
      </rPr>
      <t xml:space="preserve"> zo ŠR </t>
    </r>
  </si>
  <si>
    <t>Bežné výdavky  z rozpočtu MČ spolu</t>
  </si>
  <si>
    <t>v tom:  pre ZŠ</t>
  </si>
  <si>
    <t xml:space="preserve">           ŠJ - mzdy a odvody</t>
  </si>
  <si>
    <t xml:space="preserve">           ŠJ-tovary a služby</t>
  </si>
  <si>
    <t xml:space="preserve">          ŠKD  -mzdy a odvody</t>
  </si>
  <si>
    <t xml:space="preserve">          ŠKD - tovary a služby</t>
  </si>
  <si>
    <t>Bežné výd.na potr.od rodičov a CS</t>
  </si>
  <si>
    <t>Bežné výd.na potr. - dotácia ŠR</t>
  </si>
  <si>
    <t>Bežné výd.na potr.-dot. ŠR min.r.</t>
  </si>
  <si>
    <t>Bežné  výdavky  -   granty</t>
  </si>
  <si>
    <t>v tom : pre ZŠ</t>
  </si>
  <si>
    <t xml:space="preserve">            pre ŠJ a ŠKD</t>
  </si>
  <si>
    <t>BEŽNÉ VÝDAVKY SPOLU</t>
  </si>
  <si>
    <t xml:space="preserve">Kapitál. výdavky zo  ŠR </t>
  </si>
  <si>
    <t>Kapitál. výdavky z rozp. MČ</t>
  </si>
  <si>
    <t>VÝDAVKY    C E L K O M</t>
  </si>
  <si>
    <t>Tab. č. 6/2</t>
  </si>
  <si>
    <t>Položka</t>
  </si>
  <si>
    <t>ZŠ Dudova</t>
  </si>
  <si>
    <t xml:space="preserve">  ZŠ Gessayova</t>
  </si>
  <si>
    <t>Tab. č. 6/3</t>
  </si>
  <si>
    <t>ZŠ Lachova</t>
  </si>
  <si>
    <t>Tab. č. 6/4</t>
  </si>
  <si>
    <t>Tab. č. 6/5</t>
  </si>
  <si>
    <t>ZŠ Prokofievova</t>
  </si>
  <si>
    <t>ZŠ Tupolevova</t>
  </si>
  <si>
    <t>Tab. č. 6/6</t>
  </si>
  <si>
    <t>Základné školy  - spolu</t>
  </si>
  <si>
    <t>Tab. č. 6/7</t>
  </si>
  <si>
    <t xml:space="preserve"> SSŠaŠZ</t>
  </si>
  <si>
    <t xml:space="preserve"> ŠKOLSTVO SPOLU</t>
  </si>
  <si>
    <t>Príjmy spolu</t>
  </si>
  <si>
    <t>223001 služby</t>
  </si>
  <si>
    <t>v tom:  z rozpočtu  MČ pre ZŠ</t>
  </si>
  <si>
    <t xml:space="preserve">          ŠKD, MŠ -mzdy a odvody</t>
  </si>
  <si>
    <t xml:space="preserve">          ŠKD, MŠ - tovary a služby</t>
  </si>
  <si>
    <t xml:space="preserve">         Aparát SSŠaŠZ-mzdy a odv.</t>
  </si>
  <si>
    <t xml:space="preserve">          Aparát SSŠaŠZ-tovary a sl.</t>
  </si>
  <si>
    <t>v tom : pre ZŠ a MŠ</t>
  </si>
  <si>
    <t>VÝDAVKY    S P O L 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</si>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</sst>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b/>
      <sz val="18"/>
      <name val="Arial"/>
      <family val="2"/>
      <charset val="238"/>
    </font>
    <font>
      <sz val="18"/>
      <name val="Arial CE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1.5"/>
      <name val="Arial CE"/>
      <family val="2"/>
      <charset val="238"/>
    </font>
    <font>
      <b/>
      <sz val="10"/>
      <name val="Arial"/>
      <family val="2"/>
      <charset val="238"/>
    </font>
    <font>
      <b/>
      <u/>
      <sz val="16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2"/>
      <color rgb="FF00B050"/>
      <name val="Arial"/>
      <family val="2"/>
      <charset val="238"/>
    </font>
    <font>
      <sz val="11"/>
      <name val="Arial CE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rgb="FFFF0000"/>
      <name val="Arial CE"/>
      <family val="2"/>
      <charset val="238"/>
    </font>
    <font>
      <sz val="12"/>
      <color rgb="FFFF0000"/>
      <name val="Arial CE"/>
      <charset val="238"/>
    </font>
    <font>
      <sz val="12"/>
      <color theme="1"/>
      <name val="Arial CE"/>
      <family val="2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6"/>
      <name val="Arial CE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b/>
      <i/>
      <u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i/>
      <sz val="10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2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8" fillId="0" borderId="0"/>
    <xf numFmtId="0" fontId="1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6">
    <xf numFmtId="0" fontId="0" fillId="0" borderId="0" xfId="0"/>
    <xf numFmtId="0" fontId="13" fillId="0" borderId="1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0" fillId="0" borderId="0" xfId="0" applyFill="1"/>
    <xf numFmtId="0" fontId="13" fillId="0" borderId="1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24" fillId="0" borderId="1" xfId="0" applyFont="1" applyFill="1" applyBorder="1" applyAlignment="1">
      <alignment vertical="center"/>
    </xf>
    <xf numFmtId="0" fontId="12" fillId="0" borderId="0" xfId="1"/>
    <xf numFmtId="0" fontId="13" fillId="0" borderId="19" xfId="0" applyFont="1" applyFill="1" applyBorder="1" applyAlignment="1">
      <alignment vertical="center"/>
    </xf>
    <xf numFmtId="0" fontId="13" fillId="0" borderId="9" xfId="2" applyFont="1" applyFill="1" applyBorder="1" applyAlignment="1">
      <alignment vertical="center"/>
    </xf>
    <xf numFmtId="0" fontId="25" fillId="0" borderId="0" xfId="0" applyFont="1"/>
    <xf numFmtId="0" fontId="22" fillId="0" borderId="29" xfId="2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0" fillId="0" borderId="0" xfId="0" applyFill="1" applyBorder="1"/>
    <xf numFmtId="0" fontId="29" fillId="0" borderId="0" xfId="1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2" fillId="0" borderId="1" xfId="1" applyBorder="1" applyAlignment="1">
      <alignment horizontal="right" vertical="center" wrapText="1"/>
    </xf>
    <xf numFmtId="49" fontId="23" fillId="6" borderId="16" xfId="1" applyNumberFormat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49" fontId="23" fillId="6" borderId="8" xfId="1" applyNumberFormat="1" applyFont="1" applyFill="1" applyBorder="1" applyAlignment="1">
      <alignment horizontal="center"/>
    </xf>
    <xf numFmtId="3" fontId="23" fillId="6" borderId="16" xfId="1" applyNumberFormat="1" applyFont="1" applyFill="1" applyBorder="1" applyAlignment="1">
      <alignment horizontal="right"/>
    </xf>
    <xf numFmtId="3" fontId="23" fillId="6" borderId="8" xfId="1" applyNumberFormat="1" applyFont="1" applyFill="1" applyBorder="1" applyAlignment="1">
      <alignment horizontal="right"/>
    </xf>
    <xf numFmtId="49" fontId="23" fillId="0" borderId="20" xfId="1" applyNumberFormat="1" applyFont="1" applyFill="1" applyBorder="1" applyAlignment="1">
      <alignment horizontal="center"/>
    </xf>
    <xf numFmtId="0" fontId="23" fillId="0" borderId="12" xfId="1" applyFont="1" applyFill="1" applyBorder="1" applyAlignment="1">
      <alignment horizontal="center"/>
    </xf>
    <xf numFmtId="49" fontId="23" fillId="0" borderId="11" xfId="1" applyNumberFormat="1" applyFont="1" applyFill="1" applyBorder="1" applyAlignment="1">
      <alignment horizontal="center"/>
    </xf>
    <xf numFmtId="0" fontId="12" fillId="0" borderId="0" xfId="1" applyFill="1"/>
    <xf numFmtId="0" fontId="19" fillId="0" borderId="0" xfId="1" applyFont="1" applyFill="1"/>
    <xf numFmtId="49" fontId="19" fillId="4" borderId="20" xfId="1" applyNumberFormat="1" applyFont="1" applyFill="1" applyBorder="1" applyAlignment="1">
      <alignment horizontal="center"/>
    </xf>
    <xf numFmtId="0" fontId="19" fillId="4" borderId="12" xfId="1" applyFont="1" applyFill="1" applyBorder="1" applyAlignment="1">
      <alignment horizontal="center"/>
    </xf>
    <xf numFmtId="49" fontId="19" fillId="4" borderId="11" xfId="1" applyNumberFormat="1" applyFont="1" applyFill="1" applyBorder="1" applyAlignment="1">
      <alignment horizontal="center"/>
    </xf>
    <xf numFmtId="49" fontId="19" fillId="4" borderId="9" xfId="1" applyNumberFormat="1" applyFont="1" applyFill="1" applyBorder="1" applyAlignment="1">
      <alignment horizontal="left"/>
    </xf>
    <xf numFmtId="3" fontId="19" fillId="4" borderId="20" xfId="1" applyNumberFormat="1" applyFont="1" applyFill="1" applyBorder="1" applyAlignment="1">
      <alignment horizontal="right"/>
    </xf>
    <xf numFmtId="3" fontId="19" fillId="4" borderId="11" xfId="1" applyNumberFormat="1" applyFont="1" applyFill="1" applyBorder="1" applyAlignment="1">
      <alignment horizontal="right"/>
    </xf>
    <xf numFmtId="49" fontId="23" fillId="6" borderId="20" xfId="1" applyNumberFormat="1" applyFont="1" applyFill="1" applyBorder="1" applyAlignment="1">
      <alignment horizontal="center"/>
    </xf>
    <xf numFmtId="0" fontId="23" fillId="6" borderId="12" xfId="1" applyFont="1" applyFill="1" applyBorder="1" applyAlignment="1">
      <alignment horizontal="center"/>
    </xf>
    <xf numFmtId="49" fontId="23" fillId="6" borderId="11" xfId="1" applyNumberFormat="1" applyFont="1" applyFill="1" applyBorder="1" applyAlignment="1">
      <alignment horizontal="center"/>
    </xf>
    <xf numFmtId="3" fontId="23" fillId="6" borderId="20" xfId="1" applyNumberFormat="1" applyFont="1" applyFill="1" applyBorder="1" applyAlignment="1">
      <alignment horizontal="right"/>
    </xf>
    <xf numFmtId="3" fontId="23" fillId="6" borderId="11" xfId="1" applyNumberFormat="1" applyFont="1" applyFill="1" applyBorder="1" applyAlignment="1">
      <alignment horizontal="right"/>
    </xf>
    <xf numFmtId="0" fontId="19" fillId="0" borderId="0" xfId="1" applyFont="1"/>
    <xf numFmtId="49" fontId="19" fillId="4" borderId="38" xfId="1" applyNumberFormat="1" applyFont="1" applyFill="1" applyBorder="1" applyAlignment="1">
      <alignment horizontal="center"/>
    </xf>
    <xf numFmtId="0" fontId="19" fillId="4" borderId="39" xfId="1" applyFont="1" applyFill="1" applyBorder="1" applyAlignment="1">
      <alignment horizontal="center"/>
    </xf>
    <xf numFmtId="49" fontId="19" fillId="4" borderId="40" xfId="1" applyNumberFormat="1" applyFont="1" applyFill="1" applyBorder="1" applyAlignment="1">
      <alignment horizontal="center"/>
    </xf>
    <xf numFmtId="49" fontId="19" fillId="4" borderId="13" xfId="1" applyNumberFormat="1" applyFont="1" applyFill="1" applyBorder="1" applyAlignment="1">
      <alignment horizontal="left"/>
    </xf>
    <xf numFmtId="3" fontId="19" fillId="4" borderId="21" xfId="0" applyNumberFormat="1" applyFont="1" applyFill="1" applyBorder="1" applyAlignment="1">
      <alignment horizontal="right"/>
    </xf>
    <xf numFmtId="3" fontId="19" fillId="4" borderId="15" xfId="0" applyNumberFormat="1" applyFont="1" applyFill="1" applyBorder="1" applyAlignment="1">
      <alignment horizontal="right"/>
    </xf>
    <xf numFmtId="49" fontId="19" fillId="0" borderId="0" xfId="1" applyNumberFormat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49" fontId="19" fillId="0" borderId="0" xfId="1" applyNumberFormat="1" applyFont="1" applyFill="1" applyBorder="1" applyAlignment="1">
      <alignment horizontal="left"/>
    </xf>
    <xf numFmtId="3" fontId="25" fillId="0" borderId="0" xfId="0" applyNumberFormat="1" applyFont="1" applyFill="1" applyBorder="1" applyAlignment="1">
      <alignment horizontal="right"/>
    </xf>
    <xf numFmtId="0" fontId="12" fillId="0" borderId="0" xfId="1" applyFill="1" applyBorder="1"/>
    <xf numFmtId="0" fontId="13" fillId="0" borderId="0" xfId="0" applyFont="1" applyBorder="1" applyAlignment="1">
      <alignment horizontal="right" vertical="center" wrapText="1"/>
    </xf>
    <xf numFmtId="0" fontId="12" fillId="0" borderId="0" xfId="1" applyFont="1"/>
    <xf numFmtId="49" fontId="19" fillId="4" borderId="21" xfId="1" applyNumberFormat="1" applyFont="1" applyFill="1" applyBorder="1" applyAlignment="1">
      <alignment horizontal="center"/>
    </xf>
    <xf numFmtId="0" fontId="19" fillId="4" borderId="22" xfId="1" applyFont="1" applyFill="1" applyBorder="1" applyAlignment="1">
      <alignment horizontal="center"/>
    </xf>
    <xf numFmtId="49" fontId="19" fillId="4" borderId="15" xfId="1" applyNumberFormat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left"/>
    </xf>
    <xf numFmtId="3" fontId="19" fillId="4" borderId="20" xfId="0" applyNumberFormat="1" applyFont="1" applyFill="1" applyBorder="1" applyAlignment="1">
      <alignment horizontal="right"/>
    </xf>
    <xf numFmtId="3" fontId="19" fillId="4" borderId="11" xfId="0" applyNumberFormat="1" applyFont="1" applyFill="1" applyBorder="1" applyAlignment="1">
      <alignment horizontal="right"/>
    </xf>
    <xf numFmtId="49" fontId="23" fillId="0" borderId="16" xfId="1" applyNumberFormat="1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"/>
    </xf>
    <xf numFmtId="49" fontId="23" fillId="0" borderId="8" xfId="1" applyNumberFormat="1" applyFont="1" applyFill="1" applyBorder="1" applyAlignment="1">
      <alignment horizontal="center"/>
    </xf>
    <xf numFmtId="3" fontId="12" fillId="0" borderId="0" xfId="1" applyNumberFormat="1" applyFont="1" applyFill="1"/>
    <xf numFmtId="0" fontId="23" fillId="0" borderId="25" xfId="1" applyFont="1" applyFill="1" applyBorder="1" applyAlignment="1"/>
    <xf numFmtId="0" fontId="13" fillId="0" borderId="26" xfId="0" applyFont="1" applyFill="1" applyBorder="1" applyAlignment="1"/>
    <xf numFmtId="0" fontId="31" fillId="0" borderId="26" xfId="0" applyFont="1" applyFill="1" applyBorder="1" applyAlignment="1"/>
    <xf numFmtId="3" fontId="23" fillId="0" borderId="0" xfId="1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1" fillId="0" borderId="19" xfId="0" applyFont="1" applyFill="1" applyBorder="1" applyAlignment="1">
      <alignment vertical="center"/>
    </xf>
    <xf numFmtId="0" fontId="31" fillId="0" borderId="0" xfId="0" applyFont="1" applyFill="1"/>
    <xf numFmtId="3" fontId="8" fillId="0" borderId="0" xfId="0" applyNumberFormat="1" applyFont="1"/>
    <xf numFmtId="49" fontId="22" fillId="0" borderId="9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14" fontId="33" fillId="0" borderId="9" xfId="0" applyNumberFormat="1" applyFont="1" applyFill="1" applyBorder="1" applyAlignment="1">
      <alignment vertical="center"/>
    </xf>
    <xf numFmtId="49" fontId="22" fillId="0" borderId="29" xfId="0" applyNumberFormat="1" applyFont="1" applyFill="1" applyBorder="1" applyAlignment="1">
      <alignment vertical="center"/>
    </xf>
    <xf numFmtId="49" fontId="15" fillId="0" borderId="29" xfId="0" applyNumberFormat="1" applyFont="1" applyFill="1" applyBorder="1" applyAlignment="1">
      <alignment vertical="center"/>
    </xf>
    <xf numFmtId="49" fontId="13" fillId="0" borderId="29" xfId="0" applyNumberFormat="1" applyFont="1" applyFill="1" applyBorder="1" applyAlignment="1">
      <alignment vertical="center"/>
    </xf>
    <xf numFmtId="4" fontId="19" fillId="4" borderId="20" xfId="1" applyNumberFormat="1" applyFont="1" applyFill="1" applyBorder="1" applyAlignment="1">
      <alignment horizontal="right"/>
    </xf>
    <xf numFmtId="4" fontId="19" fillId="4" borderId="11" xfId="1" applyNumberFormat="1" applyFont="1" applyFill="1" applyBorder="1" applyAlignment="1">
      <alignment horizontal="right"/>
    </xf>
    <xf numFmtId="4" fontId="23" fillId="6" borderId="20" xfId="1" applyNumberFormat="1" applyFont="1" applyFill="1" applyBorder="1" applyAlignment="1">
      <alignment horizontal="right"/>
    </xf>
    <xf numFmtId="4" fontId="23" fillId="6" borderId="11" xfId="1" applyNumberFormat="1" applyFont="1" applyFill="1" applyBorder="1" applyAlignment="1">
      <alignment horizontal="right"/>
    </xf>
    <xf numFmtId="4" fontId="19" fillId="4" borderId="21" xfId="0" applyNumberFormat="1" applyFont="1" applyFill="1" applyBorder="1" applyAlignment="1">
      <alignment horizontal="right"/>
    </xf>
    <xf numFmtId="4" fontId="19" fillId="4" borderId="15" xfId="0" applyNumberFormat="1" applyFont="1" applyFill="1" applyBorder="1" applyAlignment="1">
      <alignment horizontal="right"/>
    </xf>
    <xf numFmtId="4" fontId="19" fillId="4" borderId="20" xfId="0" applyNumberFormat="1" applyFont="1" applyFill="1" applyBorder="1" applyAlignment="1">
      <alignment horizontal="right"/>
    </xf>
    <xf numFmtId="4" fontId="19" fillId="4" borderId="11" xfId="0" applyNumberFormat="1" applyFont="1" applyFill="1" applyBorder="1" applyAlignment="1">
      <alignment horizontal="right"/>
    </xf>
    <xf numFmtId="3" fontId="23" fillId="7" borderId="16" xfId="1" applyNumberFormat="1" applyFont="1" applyFill="1" applyBorder="1" applyAlignment="1">
      <alignment horizontal="right"/>
    </xf>
    <xf numFmtId="3" fontId="23" fillId="7" borderId="20" xfId="1" applyNumberFormat="1" applyFont="1" applyFill="1" applyBorder="1" applyAlignment="1">
      <alignment horizontal="right"/>
    </xf>
    <xf numFmtId="4" fontId="0" fillId="0" borderId="0" xfId="0" applyNumberFormat="1"/>
    <xf numFmtId="3" fontId="21" fillId="0" borderId="0" xfId="0" applyNumberFormat="1" applyFont="1" applyFill="1" applyBorder="1" applyAlignment="1">
      <alignment horizontal="right"/>
    </xf>
    <xf numFmtId="4" fontId="25" fillId="0" borderId="0" xfId="0" applyNumberFormat="1" applyFont="1"/>
    <xf numFmtId="0" fontId="13" fillId="0" borderId="1" xfId="0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/>
    </xf>
    <xf numFmtId="49" fontId="10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vertical="center"/>
    </xf>
    <xf numFmtId="3" fontId="18" fillId="10" borderId="7" xfId="0" applyNumberFormat="1" applyFont="1" applyFill="1" applyBorder="1" applyAlignment="1">
      <alignment vertical="center"/>
    </xf>
    <xf numFmtId="3" fontId="15" fillId="7" borderId="10" xfId="0" applyNumberFormat="1" applyFont="1" applyFill="1" applyBorder="1" applyAlignment="1">
      <alignment horizontal="right" vertical="center"/>
    </xf>
    <xf numFmtId="3" fontId="22" fillId="7" borderId="10" xfId="0" applyNumberFormat="1" applyFont="1" applyFill="1" applyBorder="1" applyAlignment="1">
      <alignment horizontal="right" vertical="center"/>
    </xf>
    <xf numFmtId="3" fontId="15" fillId="7" borderId="10" xfId="0" applyNumberFormat="1" applyFont="1" applyFill="1" applyBorder="1" applyAlignment="1">
      <alignment vertical="center"/>
    </xf>
    <xf numFmtId="3" fontId="22" fillId="7" borderId="14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 wrapText="1"/>
    </xf>
    <xf numFmtId="3" fontId="36" fillId="7" borderId="7" xfId="0" applyNumberFormat="1" applyFont="1" applyFill="1" applyBorder="1" applyAlignment="1">
      <alignment horizontal="right" vertical="center"/>
    </xf>
    <xf numFmtId="3" fontId="36" fillId="7" borderId="10" xfId="0" applyNumberFormat="1" applyFont="1" applyFill="1" applyBorder="1" applyAlignment="1">
      <alignment horizontal="right" vertical="center"/>
    </xf>
    <xf numFmtId="0" fontId="17" fillId="3" borderId="9" xfId="0" applyFont="1" applyFill="1" applyBorder="1" applyAlignment="1">
      <alignment vertical="center"/>
    </xf>
    <xf numFmtId="3" fontId="18" fillId="3" borderId="10" xfId="0" applyNumberFormat="1" applyFont="1" applyFill="1" applyBorder="1" applyAlignment="1">
      <alignment vertical="center"/>
    </xf>
    <xf numFmtId="3" fontId="22" fillId="7" borderId="30" xfId="0" applyNumberFormat="1" applyFont="1" applyFill="1" applyBorder="1" applyAlignment="1">
      <alignment horizontal="right" vertical="center"/>
    </xf>
    <xf numFmtId="0" fontId="26" fillId="3" borderId="13" xfId="0" applyFont="1" applyFill="1" applyBorder="1" applyAlignment="1">
      <alignment vertical="center"/>
    </xf>
    <xf numFmtId="3" fontId="21" fillId="3" borderId="14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0" fillId="9" borderId="3" xfId="16" applyFont="1" applyFill="1" applyBorder="1" applyAlignment="1">
      <alignment horizontal="center" vertical="center" wrapText="1"/>
    </xf>
    <xf numFmtId="0" fontId="20" fillId="9" borderId="37" xfId="16" applyFont="1" applyFill="1" applyBorder="1" applyAlignment="1">
      <alignment horizontal="center" vertical="center" wrapText="1"/>
    </xf>
    <xf numFmtId="0" fontId="38" fillId="6" borderId="31" xfId="0" applyFont="1" applyFill="1" applyBorder="1"/>
    <xf numFmtId="0" fontId="38" fillId="0" borderId="9" xfId="0" applyFont="1" applyFill="1" applyBorder="1"/>
    <xf numFmtId="3" fontId="23" fillId="7" borderId="11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0" fontId="38" fillId="6" borderId="9" xfId="0" applyFont="1" applyFill="1" applyBorder="1"/>
    <xf numFmtId="3" fontId="12" fillId="6" borderId="16" xfId="1" applyNumberFormat="1" applyFont="1" applyFill="1" applyBorder="1" applyAlignment="1">
      <alignment horizontal="right"/>
    </xf>
    <xf numFmtId="3" fontId="12" fillId="6" borderId="8" xfId="1" applyNumberFormat="1" applyFont="1" applyFill="1" applyBorder="1" applyAlignment="1">
      <alignment horizontal="right"/>
    </xf>
    <xf numFmtId="3" fontId="30" fillId="7" borderId="20" xfId="1" applyNumberFormat="1" applyFont="1" applyFill="1" applyBorder="1" applyAlignment="1">
      <alignment horizontal="right"/>
    </xf>
    <xf numFmtId="3" fontId="30" fillId="7" borderId="11" xfId="1" applyNumberFormat="1" applyFont="1" applyFill="1" applyBorder="1" applyAlignment="1">
      <alignment horizontal="right"/>
    </xf>
    <xf numFmtId="49" fontId="38" fillId="0" borderId="9" xfId="1" applyNumberFormat="1" applyFont="1" applyFill="1" applyBorder="1" applyAlignment="1">
      <alignment horizontal="left"/>
    </xf>
    <xf numFmtId="49" fontId="19" fillId="8" borderId="0" xfId="1" applyNumberFormat="1" applyFont="1" applyFill="1" applyBorder="1" applyAlignment="1">
      <alignment horizontal="center"/>
    </xf>
    <xf numFmtId="0" fontId="19" fillId="8" borderId="0" xfId="1" applyFont="1" applyFill="1" applyBorder="1" applyAlignment="1">
      <alignment horizontal="center"/>
    </xf>
    <xf numFmtId="49" fontId="19" fillId="8" borderId="0" xfId="1" applyNumberFormat="1" applyFont="1" applyFill="1" applyBorder="1" applyAlignment="1">
      <alignment horizontal="left"/>
    </xf>
    <xf numFmtId="3" fontId="20" fillId="8" borderId="0" xfId="0" applyNumberFormat="1" applyFont="1" applyFill="1" applyBorder="1" applyAlignment="1">
      <alignment horizontal="right"/>
    </xf>
    <xf numFmtId="0" fontId="12" fillId="8" borderId="0" xfId="1" applyFill="1"/>
    <xf numFmtId="0" fontId="38" fillId="0" borderId="13" xfId="0" applyFont="1" applyFill="1" applyBorder="1"/>
    <xf numFmtId="3" fontId="23" fillId="7" borderId="21" xfId="1" applyNumberFormat="1" applyFont="1" applyFill="1" applyBorder="1" applyAlignment="1">
      <alignment horizontal="right"/>
    </xf>
    <xf numFmtId="3" fontId="23" fillId="7" borderId="15" xfId="1" applyNumberFormat="1" applyFont="1" applyFill="1" applyBorder="1" applyAlignment="1">
      <alignment horizontal="right"/>
    </xf>
    <xf numFmtId="49" fontId="23" fillId="0" borderId="0" xfId="1" applyNumberFormat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38" fillId="0" borderId="0" xfId="0" applyFont="1" applyFill="1" applyBorder="1"/>
    <xf numFmtId="0" fontId="38" fillId="0" borderId="31" xfId="0" applyFont="1" applyFill="1" applyBorder="1"/>
    <xf numFmtId="3" fontId="23" fillId="7" borderId="8" xfId="1" applyNumberFormat="1" applyFont="1" applyFill="1" applyBorder="1" applyAlignment="1">
      <alignment horizontal="right"/>
    </xf>
    <xf numFmtId="0" fontId="39" fillId="0" borderId="9" xfId="0" applyFont="1" applyFill="1" applyBorder="1"/>
    <xf numFmtId="49" fontId="19" fillId="0" borderId="52" xfId="1" applyNumberFormat="1" applyFont="1" applyFill="1" applyBorder="1" applyAlignment="1">
      <alignment horizontal="center"/>
    </xf>
    <xf numFmtId="0" fontId="19" fillId="0" borderId="28" xfId="1" applyFont="1" applyFill="1" applyBorder="1" applyAlignment="1">
      <alignment horizontal="center"/>
    </xf>
    <xf numFmtId="49" fontId="19" fillId="0" borderId="28" xfId="1" applyNumberFormat="1" applyFont="1" applyFill="1" applyBorder="1" applyAlignment="1">
      <alignment horizontal="center"/>
    </xf>
    <xf numFmtId="49" fontId="19" fillId="0" borderId="30" xfId="1" applyNumberFormat="1" applyFont="1" applyFill="1" applyBorder="1" applyAlignment="1">
      <alignment horizontal="left"/>
    </xf>
    <xf numFmtId="3" fontId="19" fillId="7" borderId="25" xfId="1" applyNumberFormat="1" applyFont="1" applyFill="1" applyBorder="1" applyAlignment="1">
      <alignment horizontal="right"/>
    </xf>
    <xf numFmtId="3" fontId="19" fillId="7" borderId="27" xfId="1" applyNumberFormat="1" applyFont="1" applyFill="1" applyBorder="1" applyAlignment="1">
      <alignment horizontal="right"/>
    </xf>
    <xf numFmtId="3" fontId="12" fillId="0" borderId="0" xfId="1" applyNumberFormat="1" applyFont="1" applyFill="1" applyBorder="1"/>
    <xf numFmtId="0" fontId="38" fillId="0" borderId="27" xfId="0" applyFont="1" applyFill="1" applyBorder="1" applyAlignment="1"/>
    <xf numFmtId="0" fontId="19" fillId="0" borderId="0" xfId="1" applyFont="1" applyFill="1" applyBorder="1" applyAlignment="1">
      <alignment horizontal="left" indent="2"/>
    </xf>
    <xf numFmtId="3" fontId="21" fillId="7" borderId="19" xfId="0" applyNumberFormat="1" applyFont="1" applyFill="1" applyBorder="1" applyAlignment="1">
      <alignment horizontal="right"/>
    </xf>
    <xf numFmtId="3" fontId="21" fillId="7" borderId="9" xfId="0" applyNumberFormat="1" applyFont="1" applyFill="1" applyBorder="1" applyAlignment="1">
      <alignment horizontal="right"/>
    </xf>
    <xf numFmtId="3" fontId="13" fillId="7" borderId="9" xfId="0" applyNumberFormat="1" applyFont="1" applyFill="1" applyBorder="1" applyAlignment="1">
      <alignment horizontal="right"/>
    </xf>
    <xf numFmtId="3" fontId="13" fillId="7" borderId="29" xfId="0" applyNumberFormat="1" applyFont="1" applyFill="1" applyBorder="1" applyAlignment="1">
      <alignment horizontal="right"/>
    </xf>
    <xf numFmtId="49" fontId="22" fillId="0" borderId="44" xfId="0" applyNumberFormat="1" applyFont="1" applyFill="1" applyBorder="1" applyAlignment="1">
      <alignment vertical="center"/>
    </xf>
    <xf numFmtId="3" fontId="35" fillId="7" borderId="9" xfId="0" applyNumberFormat="1" applyFont="1" applyFill="1" applyBorder="1" applyAlignment="1">
      <alignment horizontal="right"/>
    </xf>
    <xf numFmtId="3" fontId="13" fillId="7" borderId="13" xfId="0" applyNumberFormat="1" applyFont="1" applyFill="1" applyBorder="1" applyAlignment="1">
      <alignment horizontal="right"/>
    </xf>
    <xf numFmtId="0" fontId="35" fillId="0" borderId="1" xfId="0" applyFont="1" applyFill="1" applyBorder="1" applyAlignment="1">
      <alignment horizontal="left" vertical="center"/>
    </xf>
    <xf numFmtId="0" fontId="32" fillId="0" borderId="51" xfId="0" applyFont="1" applyFill="1" applyBorder="1" applyAlignment="1">
      <alignment vertical="center"/>
    </xf>
    <xf numFmtId="49" fontId="23" fillId="7" borderId="18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vertical="center"/>
    </xf>
    <xf numFmtId="3" fontId="15" fillId="7" borderId="6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5" fillId="7" borderId="9" xfId="0" applyNumberFormat="1" applyFont="1" applyFill="1" applyBorder="1" applyAlignment="1">
      <alignment horizontal="right"/>
    </xf>
    <xf numFmtId="3" fontId="15" fillId="7" borderId="19" xfId="0" applyNumberFormat="1" applyFont="1" applyFill="1" applyBorder="1" applyAlignment="1">
      <alignment horizontal="right"/>
    </xf>
    <xf numFmtId="0" fontId="15" fillId="0" borderId="44" xfId="0" applyFont="1" applyFill="1" applyBorder="1" applyAlignment="1">
      <alignment vertical="center"/>
    </xf>
    <xf numFmtId="0" fontId="15" fillId="0" borderId="44" xfId="4" applyFont="1" applyFill="1" applyBorder="1" applyAlignment="1">
      <alignment vertical="center"/>
    </xf>
    <xf numFmtId="3" fontId="22" fillId="7" borderId="9" xfId="0" applyNumberFormat="1" applyFont="1" applyFill="1" applyBorder="1" applyAlignment="1">
      <alignment horizontal="right"/>
    </xf>
    <xf numFmtId="0" fontId="22" fillId="0" borderId="52" xfId="0" applyFont="1" applyFill="1" applyBorder="1" applyAlignment="1">
      <alignment vertical="center"/>
    </xf>
    <xf numFmtId="0" fontId="22" fillId="0" borderId="44" xfId="0" applyFont="1" applyFill="1" applyBorder="1" applyAlignment="1">
      <alignment vertical="center"/>
    </xf>
    <xf numFmtId="3" fontId="22" fillId="7" borderId="6" xfId="0" applyNumberFormat="1" applyFont="1" applyFill="1" applyBorder="1" applyAlignment="1">
      <alignment horizontal="right"/>
    </xf>
    <xf numFmtId="0" fontId="22" fillId="0" borderId="41" xfId="0" applyFont="1" applyFill="1" applyBorder="1" applyAlignment="1">
      <alignment vertical="center"/>
    </xf>
    <xf numFmtId="3" fontId="22" fillId="7" borderId="23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2" fillId="0" borderId="0" xfId="0" applyFont="1" applyFill="1" applyAlignment="1">
      <alignment horizontal="left" vertical="center" wrapText="1"/>
    </xf>
    <xf numFmtId="3" fontId="22" fillId="7" borderId="19" xfId="0" applyNumberFormat="1" applyFont="1" applyFill="1" applyBorder="1" applyAlignment="1">
      <alignment horizontal="right"/>
    </xf>
    <xf numFmtId="3" fontId="33" fillId="7" borderId="9" xfId="0" applyNumberFormat="1" applyFont="1" applyFill="1" applyBorder="1" applyAlignment="1">
      <alignment horizontal="right"/>
    </xf>
    <xf numFmtId="3" fontId="22" fillId="7" borderId="29" xfId="0" applyNumberFormat="1" applyFont="1" applyFill="1" applyBorder="1" applyAlignment="1">
      <alignment horizontal="right"/>
    </xf>
    <xf numFmtId="3" fontId="15" fillId="7" borderId="29" xfId="0" applyNumberFormat="1" applyFont="1" applyFill="1" applyBorder="1" applyAlignment="1">
      <alignment horizontal="right"/>
    </xf>
    <xf numFmtId="3" fontId="22" fillId="7" borderId="13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16" fillId="0" borderId="51" xfId="0" applyFont="1" applyFill="1" applyBorder="1" applyAlignment="1">
      <alignment horizontal="center" vertical="center" wrapText="1"/>
    </xf>
    <xf numFmtId="3" fontId="15" fillId="0" borderId="51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3" fontId="33" fillId="0" borderId="51" xfId="0" applyNumberFormat="1" applyFont="1" applyFill="1" applyBorder="1" applyAlignment="1">
      <alignment horizontal="right"/>
    </xf>
    <xf numFmtId="49" fontId="34" fillId="0" borderId="44" xfId="0" applyNumberFormat="1" applyFont="1" applyFill="1" applyBorder="1" applyAlignment="1">
      <alignment vertical="center"/>
    </xf>
    <xf numFmtId="4" fontId="18" fillId="10" borderId="7" xfId="0" applyNumberFormat="1" applyFont="1" applyFill="1" applyBorder="1" applyAlignment="1">
      <alignment vertical="center"/>
    </xf>
    <xf numFmtId="4" fontId="18" fillId="3" borderId="10" xfId="0" applyNumberFormat="1" applyFont="1" applyFill="1" applyBorder="1" applyAlignment="1">
      <alignment vertical="center"/>
    </xf>
    <xf numFmtId="4" fontId="21" fillId="3" borderId="14" xfId="0" applyNumberFormat="1" applyFont="1" applyFill="1" applyBorder="1" applyAlignment="1">
      <alignment vertical="center"/>
    </xf>
    <xf numFmtId="3" fontId="15" fillId="11" borderId="10" xfId="0" applyNumberFormat="1" applyFont="1" applyFill="1" applyBorder="1" applyAlignment="1">
      <alignment horizontal="right" vertical="center"/>
    </xf>
    <xf numFmtId="4" fontId="15" fillId="11" borderId="10" xfId="0" applyNumberFormat="1" applyFont="1" applyFill="1" applyBorder="1" applyAlignment="1">
      <alignment horizontal="right" vertical="center"/>
    </xf>
    <xf numFmtId="3" fontId="22" fillId="11" borderId="10" xfId="0" applyNumberFormat="1" applyFont="1" applyFill="1" applyBorder="1" applyAlignment="1">
      <alignment horizontal="right" vertical="center"/>
    </xf>
    <xf numFmtId="4" fontId="22" fillId="11" borderId="10" xfId="0" applyNumberFormat="1" applyFont="1" applyFill="1" applyBorder="1" applyAlignment="1">
      <alignment horizontal="right" vertical="center"/>
    </xf>
    <xf numFmtId="3" fontId="15" fillId="11" borderId="10" xfId="0" applyNumberFormat="1" applyFont="1" applyFill="1" applyBorder="1" applyAlignment="1">
      <alignment vertical="center"/>
    </xf>
    <xf numFmtId="4" fontId="15" fillId="11" borderId="10" xfId="0" applyNumberFormat="1" applyFont="1" applyFill="1" applyBorder="1" applyAlignment="1">
      <alignment vertical="center"/>
    </xf>
    <xf numFmtId="3" fontId="22" fillId="11" borderId="14" xfId="0" applyNumberFormat="1" applyFont="1" applyFill="1" applyBorder="1" applyAlignment="1">
      <alignment horizontal="right" vertical="center"/>
    </xf>
    <xf numFmtId="4" fontId="22" fillId="11" borderId="14" xfId="0" applyNumberFormat="1" applyFont="1" applyFill="1" applyBorder="1" applyAlignment="1">
      <alignment horizontal="right" vertical="center"/>
    </xf>
    <xf numFmtId="3" fontId="36" fillId="11" borderId="7" xfId="0" applyNumberFormat="1" applyFont="1" applyFill="1" applyBorder="1" applyAlignment="1">
      <alignment horizontal="right" vertical="center"/>
    </xf>
    <xf numFmtId="3" fontId="36" fillId="11" borderId="10" xfId="0" applyNumberFormat="1" applyFont="1" applyFill="1" applyBorder="1" applyAlignment="1">
      <alignment horizontal="right" vertical="center"/>
    </xf>
    <xf numFmtId="3" fontId="22" fillId="11" borderId="30" xfId="0" applyNumberFormat="1" applyFont="1" applyFill="1" applyBorder="1" applyAlignment="1">
      <alignment horizontal="right" vertical="center"/>
    </xf>
    <xf numFmtId="4" fontId="36" fillId="11" borderId="7" xfId="0" applyNumberFormat="1" applyFont="1" applyFill="1" applyBorder="1" applyAlignment="1">
      <alignment horizontal="right" vertical="center"/>
    </xf>
    <xf numFmtId="4" fontId="36" fillId="11" borderId="10" xfId="0" applyNumberFormat="1" applyFont="1" applyFill="1" applyBorder="1" applyAlignment="1">
      <alignment horizontal="right" vertical="center"/>
    </xf>
    <xf numFmtId="4" fontId="22" fillId="11" borderId="30" xfId="0" applyNumberFormat="1" applyFont="1" applyFill="1" applyBorder="1" applyAlignment="1">
      <alignment horizontal="right" vertical="center"/>
    </xf>
    <xf numFmtId="3" fontId="23" fillId="11" borderId="20" xfId="1" applyNumberFormat="1" applyFont="1" applyFill="1" applyBorder="1" applyAlignment="1">
      <alignment horizontal="right"/>
    </xf>
    <xf numFmtId="3" fontId="23" fillId="11" borderId="11" xfId="1" applyNumberFormat="1" applyFont="1" applyFill="1" applyBorder="1" applyAlignment="1">
      <alignment horizontal="right"/>
    </xf>
    <xf numFmtId="4" fontId="23" fillId="11" borderId="20" xfId="1" applyNumberFormat="1" applyFont="1" applyFill="1" applyBorder="1" applyAlignment="1">
      <alignment horizontal="right"/>
    </xf>
    <xf numFmtId="4" fontId="23" fillId="11" borderId="11" xfId="1" applyNumberFormat="1" applyFont="1" applyFill="1" applyBorder="1" applyAlignment="1">
      <alignment horizontal="right"/>
    </xf>
    <xf numFmtId="3" fontId="30" fillId="11" borderId="20" xfId="1" applyNumberFormat="1" applyFont="1" applyFill="1" applyBorder="1" applyAlignment="1">
      <alignment horizontal="right"/>
    </xf>
    <xf numFmtId="3" fontId="30" fillId="11" borderId="11" xfId="1" applyNumberFormat="1" applyFont="1" applyFill="1" applyBorder="1" applyAlignment="1">
      <alignment horizontal="right"/>
    </xf>
    <xf numFmtId="4" fontId="30" fillId="11" borderId="20" xfId="1" applyNumberFormat="1" applyFont="1" applyFill="1" applyBorder="1" applyAlignment="1">
      <alignment horizontal="right"/>
    </xf>
    <xf numFmtId="4" fontId="30" fillId="11" borderId="11" xfId="1" applyNumberFormat="1" applyFont="1" applyFill="1" applyBorder="1" applyAlignment="1">
      <alignment horizontal="right"/>
    </xf>
    <xf numFmtId="3" fontId="23" fillId="11" borderId="21" xfId="1" applyNumberFormat="1" applyFont="1" applyFill="1" applyBorder="1" applyAlignment="1">
      <alignment horizontal="right"/>
    </xf>
    <xf numFmtId="3" fontId="23" fillId="11" borderId="15" xfId="1" applyNumberFormat="1" applyFont="1" applyFill="1" applyBorder="1" applyAlignment="1">
      <alignment horizontal="right"/>
    </xf>
    <xf numFmtId="4" fontId="23" fillId="11" borderId="21" xfId="1" applyNumberFormat="1" applyFont="1" applyFill="1" applyBorder="1" applyAlignment="1">
      <alignment horizontal="right"/>
    </xf>
    <xf numFmtId="4" fontId="23" fillId="11" borderId="15" xfId="1" applyNumberFormat="1" applyFont="1" applyFill="1" applyBorder="1" applyAlignment="1">
      <alignment horizontal="right"/>
    </xf>
    <xf numFmtId="3" fontId="23" fillId="11" borderId="16" xfId="1" applyNumberFormat="1" applyFont="1" applyFill="1" applyBorder="1" applyAlignment="1">
      <alignment horizontal="right"/>
    </xf>
    <xf numFmtId="3" fontId="23" fillId="11" borderId="8" xfId="1" applyNumberFormat="1" applyFont="1" applyFill="1" applyBorder="1" applyAlignment="1">
      <alignment horizontal="right"/>
    </xf>
    <xf numFmtId="3" fontId="19" fillId="11" borderId="25" xfId="1" applyNumberFormat="1" applyFont="1" applyFill="1" applyBorder="1" applyAlignment="1">
      <alignment horizontal="right"/>
    </xf>
    <xf numFmtId="3" fontId="19" fillId="11" borderId="27" xfId="1" applyNumberFormat="1" applyFont="1" applyFill="1" applyBorder="1" applyAlignment="1">
      <alignment horizontal="right"/>
    </xf>
    <xf numFmtId="4" fontId="19" fillId="11" borderId="25" xfId="1" applyNumberFormat="1" applyFont="1" applyFill="1" applyBorder="1" applyAlignment="1">
      <alignment horizontal="right"/>
    </xf>
    <xf numFmtId="4" fontId="19" fillId="11" borderId="27" xfId="1" applyNumberFormat="1" applyFont="1" applyFill="1" applyBorder="1" applyAlignment="1">
      <alignment horizontal="right"/>
    </xf>
    <xf numFmtId="3" fontId="15" fillId="11" borderId="6" xfId="0" applyNumberFormat="1" applyFont="1" applyFill="1" applyBorder="1" applyAlignment="1">
      <alignment horizontal="right"/>
    </xf>
    <xf numFmtId="3" fontId="21" fillId="11" borderId="19" xfId="0" applyNumberFormat="1" applyFont="1" applyFill="1" applyBorder="1" applyAlignment="1">
      <alignment horizontal="right"/>
    </xf>
    <xf numFmtId="4" fontId="21" fillId="11" borderId="19" xfId="0" applyNumberFormat="1" applyFont="1" applyFill="1" applyBorder="1" applyAlignment="1">
      <alignment horizontal="right"/>
    </xf>
    <xf numFmtId="3" fontId="13" fillId="11" borderId="9" xfId="0" applyNumberFormat="1" applyFont="1" applyFill="1" applyBorder="1" applyAlignment="1">
      <alignment horizontal="right"/>
    </xf>
    <xf numFmtId="4" fontId="13" fillId="11" borderId="9" xfId="0" applyNumberFormat="1" applyFont="1" applyFill="1" applyBorder="1" applyAlignment="1">
      <alignment horizontal="right"/>
    </xf>
    <xf numFmtId="3" fontId="13" fillId="11" borderId="29" xfId="0" applyNumberFormat="1" applyFont="1" applyFill="1" applyBorder="1" applyAlignment="1">
      <alignment horizontal="right"/>
    </xf>
    <xf numFmtId="4" fontId="13" fillId="11" borderId="29" xfId="0" applyNumberFormat="1" applyFont="1" applyFill="1" applyBorder="1" applyAlignment="1">
      <alignment horizontal="right"/>
    </xf>
    <xf numFmtId="3" fontId="35" fillId="11" borderId="9" xfId="0" applyNumberFormat="1" applyFont="1" applyFill="1" applyBorder="1" applyAlignment="1">
      <alignment horizontal="right"/>
    </xf>
    <xf numFmtId="4" fontId="35" fillId="11" borderId="9" xfId="0" applyNumberFormat="1" applyFont="1" applyFill="1" applyBorder="1" applyAlignment="1">
      <alignment horizontal="right"/>
    </xf>
    <xf numFmtId="3" fontId="13" fillId="11" borderId="13" xfId="0" applyNumberFormat="1" applyFont="1" applyFill="1" applyBorder="1" applyAlignment="1">
      <alignment horizontal="right"/>
    </xf>
    <xf numFmtId="4" fontId="13" fillId="11" borderId="13" xfId="0" applyNumberFormat="1" applyFont="1" applyFill="1" applyBorder="1" applyAlignment="1">
      <alignment horizontal="right"/>
    </xf>
    <xf numFmtId="49" fontId="23" fillId="11" borderId="18" xfId="0" applyNumberFormat="1" applyFont="1" applyFill="1" applyBorder="1" applyAlignment="1">
      <alignment horizontal="center" vertical="center"/>
    </xf>
    <xf numFmtId="4" fontId="23" fillId="11" borderId="18" xfId="0" applyNumberFormat="1" applyFont="1" applyFill="1" applyBorder="1" applyAlignment="1">
      <alignment horizontal="center" vertical="center"/>
    </xf>
    <xf numFmtId="4" fontId="15" fillId="11" borderId="6" xfId="0" applyNumberFormat="1" applyFont="1" applyFill="1" applyBorder="1" applyAlignment="1">
      <alignment horizontal="right"/>
    </xf>
    <xf numFmtId="3" fontId="15" fillId="11" borderId="9" xfId="0" applyNumberFormat="1" applyFont="1" applyFill="1" applyBorder="1" applyAlignment="1">
      <alignment horizontal="right"/>
    </xf>
    <xf numFmtId="4" fontId="15" fillId="11" borderId="9" xfId="0" applyNumberFormat="1" applyFont="1" applyFill="1" applyBorder="1" applyAlignment="1">
      <alignment horizontal="right"/>
    </xf>
    <xf numFmtId="3" fontId="15" fillId="11" borderId="19" xfId="0" applyNumberFormat="1" applyFont="1" applyFill="1" applyBorder="1" applyAlignment="1">
      <alignment horizontal="right"/>
    </xf>
    <xf numFmtId="4" fontId="15" fillId="11" borderId="19" xfId="0" applyNumberFormat="1" applyFont="1" applyFill="1" applyBorder="1" applyAlignment="1">
      <alignment horizontal="right"/>
    </xf>
    <xf numFmtId="3" fontId="22" fillId="11" borderId="9" xfId="0" applyNumberFormat="1" applyFont="1" applyFill="1" applyBorder="1" applyAlignment="1">
      <alignment horizontal="right"/>
    </xf>
    <xf numFmtId="4" fontId="22" fillId="11" borderId="9" xfId="0" applyNumberFormat="1" applyFont="1" applyFill="1" applyBorder="1" applyAlignment="1">
      <alignment horizontal="right"/>
    </xf>
    <xf numFmtId="3" fontId="22" fillId="11" borderId="6" xfId="0" applyNumberFormat="1" applyFont="1" applyFill="1" applyBorder="1" applyAlignment="1">
      <alignment horizontal="right"/>
    </xf>
    <xf numFmtId="4" fontId="22" fillId="11" borderId="6" xfId="0" applyNumberFormat="1" applyFont="1" applyFill="1" applyBorder="1" applyAlignment="1">
      <alignment horizontal="right"/>
    </xf>
    <xf numFmtId="3" fontId="22" fillId="11" borderId="23" xfId="0" applyNumberFormat="1" applyFont="1" applyFill="1" applyBorder="1" applyAlignment="1">
      <alignment horizontal="right"/>
    </xf>
    <xf numFmtId="4" fontId="22" fillId="11" borderId="23" xfId="0" applyNumberFormat="1" applyFont="1" applyFill="1" applyBorder="1" applyAlignment="1">
      <alignment horizontal="right"/>
    </xf>
    <xf numFmtId="3" fontId="22" fillId="11" borderId="19" xfId="0" applyNumberFormat="1" applyFont="1" applyFill="1" applyBorder="1" applyAlignment="1">
      <alignment horizontal="right"/>
    </xf>
    <xf numFmtId="3" fontId="33" fillId="11" borderId="9" xfId="0" applyNumberFormat="1" applyFont="1" applyFill="1" applyBorder="1" applyAlignment="1">
      <alignment horizontal="right"/>
    </xf>
    <xf numFmtId="3" fontId="22" fillId="11" borderId="29" xfId="0" applyNumberFormat="1" applyFont="1" applyFill="1" applyBorder="1" applyAlignment="1">
      <alignment horizontal="right"/>
    </xf>
    <xf numFmtId="3" fontId="15" fillId="11" borderId="29" xfId="0" applyNumberFormat="1" applyFont="1" applyFill="1" applyBorder="1" applyAlignment="1">
      <alignment horizontal="right"/>
    </xf>
    <xf numFmtId="3" fontId="22" fillId="11" borderId="13" xfId="0" applyNumberFormat="1" applyFont="1" applyFill="1" applyBorder="1" applyAlignment="1">
      <alignment horizontal="right"/>
    </xf>
    <xf numFmtId="3" fontId="21" fillId="11" borderId="9" xfId="0" applyNumberFormat="1" applyFont="1" applyFill="1" applyBorder="1" applyAlignment="1">
      <alignment horizontal="right"/>
    </xf>
    <xf numFmtId="4" fontId="21" fillId="11" borderId="9" xfId="0" applyNumberFormat="1" applyFont="1" applyFill="1" applyBorder="1" applyAlignment="1">
      <alignment horizontal="right"/>
    </xf>
    <xf numFmtId="4" fontId="40" fillId="0" borderId="0" xfId="15" applyNumberFormat="1" applyFont="1" applyAlignment="1">
      <alignment horizontal="center" vertical="center"/>
    </xf>
    <xf numFmtId="0" fontId="8" fillId="0" borderId="0" xfId="15" applyAlignment="1">
      <alignment vertical="center"/>
    </xf>
    <xf numFmtId="0" fontId="41" fillId="0" borderId="0" xfId="15" applyFont="1" applyAlignment="1">
      <alignment horizontal="center" vertical="center"/>
    </xf>
    <xf numFmtId="4" fontId="41" fillId="0" borderId="0" xfId="15" applyNumberFormat="1" applyFont="1" applyAlignment="1">
      <alignment horizontal="center" vertical="center"/>
    </xf>
    <xf numFmtId="4" fontId="8" fillId="0" borderId="0" xfId="15" applyNumberFormat="1" applyFont="1" applyAlignment="1">
      <alignment horizontal="center" vertical="center"/>
    </xf>
    <xf numFmtId="4" fontId="27" fillId="0" borderId="0" xfId="15" applyNumberFormat="1" applyFont="1" applyAlignment="1">
      <alignment horizontal="right" vertical="center"/>
    </xf>
    <xf numFmtId="4" fontId="41" fillId="12" borderId="47" xfId="15" applyNumberFormat="1" applyFont="1" applyFill="1" applyBorder="1" applyAlignment="1">
      <alignment horizontal="center" vertical="center" wrapText="1"/>
    </xf>
    <xf numFmtId="4" fontId="41" fillId="12" borderId="48" xfId="15" applyNumberFormat="1" applyFont="1" applyFill="1" applyBorder="1" applyAlignment="1">
      <alignment horizontal="center" vertical="center" wrapText="1"/>
    </xf>
    <xf numFmtId="49" fontId="44" fillId="12" borderId="2" xfId="15" applyNumberFormat="1" applyFont="1" applyFill="1" applyBorder="1" applyAlignment="1">
      <alignment vertical="center"/>
    </xf>
    <xf numFmtId="3" fontId="44" fillId="12" borderId="47" xfId="4" applyNumberFormat="1" applyFont="1" applyFill="1" applyBorder="1" applyAlignment="1">
      <alignment vertical="center"/>
    </xf>
    <xf numFmtId="3" fontId="44" fillId="12" borderId="48" xfId="4" applyNumberFormat="1" applyFont="1" applyFill="1" applyBorder="1" applyAlignment="1">
      <alignment vertical="center"/>
    </xf>
    <xf numFmtId="4" fontId="44" fillId="12" borderId="37" xfId="15" applyNumberFormat="1" applyFont="1" applyFill="1" applyBorder="1" applyAlignment="1">
      <alignment horizontal="right" vertical="center"/>
    </xf>
    <xf numFmtId="49" fontId="41" fillId="13" borderId="31" xfId="15" applyNumberFormat="1" applyFont="1" applyFill="1" applyBorder="1" applyAlignment="1">
      <alignment vertical="center"/>
    </xf>
    <xf numFmtId="3" fontId="27" fillId="7" borderId="54" xfId="4" applyNumberFormat="1" applyFont="1" applyFill="1" applyBorder="1" applyAlignment="1">
      <alignment vertical="center"/>
    </xf>
    <xf numFmtId="3" fontId="27" fillId="11" borderId="49" xfId="4" applyNumberFormat="1" applyFont="1" applyFill="1" applyBorder="1" applyAlignment="1">
      <alignment vertical="center"/>
    </xf>
    <xf numFmtId="3" fontId="27" fillId="7" borderId="49" xfId="4" applyNumberFormat="1" applyFont="1" applyFill="1" applyBorder="1" applyAlignment="1">
      <alignment vertical="center"/>
    </xf>
    <xf numFmtId="4" fontId="27" fillId="11" borderId="55" xfId="15" applyNumberFormat="1" applyFont="1" applyFill="1" applyBorder="1" applyAlignment="1">
      <alignment horizontal="right" vertical="center"/>
    </xf>
    <xf numFmtId="49" fontId="41" fillId="13" borderId="19" xfId="15" applyNumberFormat="1" applyFont="1" applyFill="1" applyBorder="1" applyAlignment="1">
      <alignment vertical="center"/>
    </xf>
    <xf numFmtId="3" fontId="27" fillId="7" borderId="20" xfId="4" applyNumberFormat="1" applyFont="1" applyFill="1" applyBorder="1" applyAlignment="1">
      <alignment vertical="center"/>
    </xf>
    <xf numFmtId="3" fontId="27" fillId="11" borderId="12" xfId="4" applyNumberFormat="1" applyFont="1" applyFill="1" applyBorder="1" applyAlignment="1">
      <alignment vertical="center"/>
    </xf>
    <xf numFmtId="3" fontId="27" fillId="7" borderId="12" xfId="4" applyNumberFormat="1" applyFont="1" applyFill="1" applyBorder="1" applyAlignment="1">
      <alignment vertical="center"/>
    </xf>
    <xf numFmtId="4" fontId="27" fillId="11" borderId="11" xfId="15" applyNumberFormat="1" applyFont="1" applyFill="1" applyBorder="1" applyAlignment="1">
      <alignment horizontal="right" vertical="center"/>
    </xf>
    <xf numFmtId="49" fontId="41" fillId="13" borderId="9" xfId="15" applyNumberFormat="1" applyFont="1" applyFill="1" applyBorder="1" applyAlignment="1">
      <alignment vertical="center"/>
    </xf>
    <xf numFmtId="3" fontId="27" fillId="7" borderId="25" xfId="4" applyNumberFormat="1" applyFont="1" applyFill="1" applyBorder="1" applyAlignment="1">
      <alignment vertical="center"/>
    </xf>
    <xf numFmtId="3" fontId="27" fillId="11" borderId="26" xfId="4" applyNumberFormat="1" applyFont="1" applyFill="1" applyBorder="1" applyAlignment="1">
      <alignment vertical="center"/>
    </xf>
    <xf numFmtId="3" fontId="27" fillId="7" borderId="26" xfId="4" applyNumberFormat="1" applyFont="1" applyFill="1" applyBorder="1" applyAlignment="1">
      <alignment vertical="center"/>
    </xf>
    <xf numFmtId="4" fontId="27" fillId="11" borderId="27" xfId="15" applyNumberFormat="1" applyFont="1" applyFill="1" applyBorder="1" applyAlignment="1">
      <alignment horizontal="right" vertical="center"/>
    </xf>
    <xf numFmtId="49" fontId="44" fillId="12" borderId="2" xfId="15" applyNumberFormat="1" applyFont="1" applyFill="1" applyBorder="1" applyAlignment="1">
      <alignment vertical="center" wrapText="1"/>
    </xf>
    <xf numFmtId="49" fontId="41" fillId="0" borderId="31" xfId="15" applyNumberFormat="1" applyFont="1" applyFill="1" applyBorder="1" applyAlignment="1">
      <alignment vertical="center"/>
    </xf>
    <xf numFmtId="3" fontId="27" fillId="7" borderId="16" xfId="4" applyNumberFormat="1" applyFont="1" applyFill="1" applyBorder="1" applyAlignment="1">
      <alignment vertical="center"/>
    </xf>
    <xf numFmtId="3" fontId="27" fillId="7" borderId="17" xfId="4" applyNumberFormat="1" applyFont="1" applyFill="1" applyBorder="1" applyAlignment="1">
      <alignment vertical="center"/>
    </xf>
    <xf numFmtId="3" fontId="27" fillId="11" borderId="17" xfId="4" applyNumberFormat="1" applyFont="1" applyFill="1" applyBorder="1" applyAlignment="1">
      <alignment vertical="center"/>
    </xf>
    <xf numFmtId="4" fontId="27" fillId="11" borderId="8" xfId="15" applyNumberFormat="1" applyFont="1" applyFill="1" applyBorder="1" applyAlignment="1">
      <alignment horizontal="right" vertical="center"/>
    </xf>
    <xf numFmtId="49" fontId="41" fillId="0" borderId="29" xfId="15" applyNumberFormat="1" applyFont="1" applyFill="1" applyBorder="1" applyAlignment="1">
      <alignment vertical="center"/>
    </xf>
    <xf numFmtId="49" fontId="44" fillId="0" borderId="2" xfId="15" applyNumberFormat="1" applyFont="1" applyFill="1" applyBorder="1" applyAlignment="1">
      <alignment horizontal="justify" vertical="center"/>
    </xf>
    <xf numFmtId="3" fontId="44" fillId="7" borderId="47" xfId="4" applyNumberFormat="1" applyFont="1" applyFill="1" applyBorder="1" applyAlignment="1">
      <alignment vertical="center"/>
    </xf>
    <xf numFmtId="3" fontId="44" fillId="7" borderId="48" xfId="4" applyNumberFormat="1" applyFont="1" applyFill="1" applyBorder="1" applyAlignment="1">
      <alignment vertical="center"/>
    </xf>
    <xf numFmtId="3" fontId="44" fillId="11" borderId="48" xfId="4" applyNumberFormat="1" applyFont="1" applyFill="1" applyBorder="1" applyAlignment="1">
      <alignment vertical="center"/>
    </xf>
    <xf numFmtId="4" fontId="44" fillId="11" borderId="37" xfId="15" applyNumberFormat="1" applyFont="1" applyFill="1" applyBorder="1" applyAlignment="1">
      <alignment horizontal="right" vertical="center"/>
    </xf>
    <xf numFmtId="49" fontId="41" fillId="0" borderId="19" xfId="15" applyNumberFormat="1" applyFont="1" applyFill="1" applyBorder="1" applyAlignment="1">
      <alignment horizontal="left" vertical="center"/>
    </xf>
    <xf numFmtId="3" fontId="27" fillId="7" borderId="49" xfId="15" applyNumberFormat="1" applyFont="1" applyFill="1" applyBorder="1" applyAlignment="1">
      <alignment vertical="center"/>
    </xf>
    <xf numFmtId="49" fontId="41" fillId="0" borderId="9" xfId="15" applyNumberFormat="1" applyFont="1" applyFill="1" applyBorder="1" applyAlignment="1">
      <alignment vertical="center"/>
    </xf>
    <xf numFmtId="3" fontId="27" fillId="7" borderId="12" xfId="15" applyNumberFormat="1" applyFont="1" applyFill="1" applyBorder="1" applyAlignment="1">
      <alignment vertical="center"/>
    </xf>
    <xf numFmtId="49" fontId="41" fillId="0" borderId="9" xfId="15" applyNumberFormat="1" applyFont="1" applyFill="1" applyBorder="1" applyAlignment="1">
      <alignment horizontal="left" vertical="center"/>
    </xf>
    <xf numFmtId="3" fontId="46" fillId="7" borderId="26" xfId="15" applyNumberFormat="1" applyFont="1" applyFill="1" applyBorder="1" applyAlignment="1">
      <alignment vertical="center"/>
    </xf>
    <xf numFmtId="3" fontId="46" fillId="11" borderId="26" xfId="4" applyNumberFormat="1" applyFont="1" applyFill="1" applyBorder="1" applyAlignment="1">
      <alignment vertical="center"/>
    </xf>
    <xf numFmtId="3" fontId="46" fillId="7" borderId="26" xfId="4" applyNumberFormat="1" applyFont="1" applyFill="1" applyBorder="1" applyAlignment="1">
      <alignment vertical="center"/>
    </xf>
    <xf numFmtId="49" fontId="44" fillId="0" borderId="2" xfId="15" applyNumberFormat="1" applyFont="1" applyFill="1" applyBorder="1" applyAlignment="1">
      <alignment vertical="center"/>
    </xf>
    <xf numFmtId="3" fontId="47" fillId="7" borderId="47" xfId="4" applyNumberFormat="1" applyFont="1" applyFill="1" applyBorder="1" applyAlignment="1">
      <alignment vertical="center"/>
    </xf>
    <xf numFmtId="3" fontId="47" fillId="7" borderId="48" xfId="15" applyNumberFormat="1" applyFont="1" applyFill="1" applyBorder="1" applyAlignment="1">
      <alignment vertical="center"/>
    </xf>
    <xf numFmtId="3" fontId="47" fillId="11" borderId="48" xfId="15" applyNumberFormat="1" applyFont="1" applyFill="1" applyBorder="1" applyAlignment="1">
      <alignment vertical="center"/>
    </xf>
    <xf numFmtId="4" fontId="47" fillId="11" borderId="37" xfId="15" applyNumberFormat="1" applyFont="1" applyFill="1" applyBorder="1" applyAlignment="1">
      <alignment horizontal="right" vertical="center"/>
    </xf>
    <xf numFmtId="3" fontId="47" fillId="11" borderId="48" xfId="4" applyNumberFormat="1" applyFont="1" applyFill="1" applyBorder="1" applyAlignment="1">
      <alignment vertical="center"/>
    </xf>
    <xf numFmtId="3" fontId="47" fillId="7" borderId="48" xfId="4" applyNumberFormat="1" applyFont="1" applyFill="1" applyBorder="1" applyAlignment="1">
      <alignment vertical="center"/>
    </xf>
    <xf numFmtId="49" fontId="41" fillId="0" borderId="19" xfId="15" applyNumberFormat="1" applyFont="1" applyFill="1" applyBorder="1" applyAlignment="1">
      <alignment vertical="center" wrapText="1"/>
    </xf>
    <xf numFmtId="49" fontId="47" fillId="8" borderId="19" xfId="15" applyNumberFormat="1" applyFont="1" applyFill="1" applyBorder="1" applyAlignment="1">
      <alignment vertical="center"/>
    </xf>
    <xf numFmtId="49" fontId="47" fillId="8" borderId="9" xfId="15" applyNumberFormat="1" applyFont="1" applyFill="1" applyBorder="1" applyAlignment="1">
      <alignment vertical="center"/>
    </xf>
    <xf numFmtId="49" fontId="47" fillId="8" borderId="29" xfId="15" applyNumberFormat="1" applyFont="1" applyFill="1" applyBorder="1" applyAlignment="1">
      <alignment vertical="center"/>
    </xf>
    <xf numFmtId="0" fontId="48" fillId="0" borderId="33" xfId="5" applyFont="1" applyBorder="1"/>
    <xf numFmtId="3" fontId="27" fillId="7" borderId="47" xfId="4" applyNumberFormat="1" applyFont="1" applyFill="1" applyBorder="1" applyAlignment="1">
      <alignment vertical="center"/>
    </xf>
    <xf numFmtId="3" fontId="27" fillId="11" borderId="48" xfId="4" applyNumberFormat="1" applyFont="1" applyFill="1" applyBorder="1" applyAlignment="1">
      <alignment vertical="center"/>
    </xf>
    <xf numFmtId="3" fontId="27" fillId="7" borderId="48" xfId="4" applyNumberFormat="1" applyFont="1" applyFill="1" applyBorder="1" applyAlignment="1">
      <alignment vertical="center"/>
    </xf>
    <xf numFmtId="4" fontId="27" fillId="11" borderId="37" xfId="15" applyNumberFormat="1" applyFont="1" applyFill="1" applyBorder="1" applyAlignment="1">
      <alignment horizontal="right" vertical="center"/>
    </xf>
    <xf numFmtId="0" fontId="41" fillId="0" borderId="33" xfId="5" applyFont="1" applyBorder="1"/>
    <xf numFmtId="49" fontId="44" fillId="12" borderId="2" xfId="15" applyNumberFormat="1" applyFont="1" applyFill="1" applyBorder="1" applyAlignment="1">
      <alignment horizontal="justify" vertical="center"/>
    </xf>
    <xf numFmtId="49" fontId="44" fillId="14" borderId="23" xfId="15" applyNumberFormat="1" applyFont="1" applyFill="1" applyBorder="1" applyAlignment="1">
      <alignment horizontal="justify" vertical="center"/>
    </xf>
    <xf numFmtId="3" fontId="49" fillId="7" borderId="49" xfId="4" applyNumberFormat="1" applyFont="1" applyFill="1" applyBorder="1" applyAlignment="1">
      <alignment vertical="center"/>
    </xf>
    <xf numFmtId="3" fontId="49" fillId="11" borderId="49" xfId="4" applyNumberFormat="1" applyFont="1" applyFill="1" applyBorder="1" applyAlignment="1">
      <alignment vertical="center"/>
    </xf>
    <xf numFmtId="4" fontId="44" fillId="11" borderId="55" xfId="15" applyNumberFormat="1" applyFont="1" applyFill="1" applyBorder="1" applyAlignment="1">
      <alignment horizontal="right" vertical="center"/>
    </xf>
    <xf numFmtId="49" fontId="44" fillId="14" borderId="18" xfId="15" applyNumberFormat="1" applyFont="1" applyFill="1" applyBorder="1" applyAlignment="1">
      <alignment horizontal="justify" vertical="center"/>
    </xf>
    <xf numFmtId="3" fontId="49" fillId="7" borderId="26" xfId="4" applyNumberFormat="1" applyFont="1" applyFill="1" applyBorder="1" applyAlignment="1">
      <alignment vertical="center"/>
    </xf>
    <xf numFmtId="3" fontId="49" fillId="11" borderId="26" xfId="4" applyNumberFormat="1" applyFont="1" applyFill="1" applyBorder="1" applyAlignment="1">
      <alignment vertical="center"/>
    </xf>
    <xf numFmtId="4" fontId="44" fillId="11" borderId="27" xfId="15" applyNumberFormat="1" applyFont="1" applyFill="1" applyBorder="1" applyAlignment="1">
      <alignment horizontal="right" vertical="center"/>
    </xf>
    <xf numFmtId="3" fontId="44" fillId="12" borderId="47" xfId="15" applyNumberFormat="1" applyFont="1" applyFill="1" applyBorder="1" applyAlignment="1">
      <alignment vertical="center"/>
    </xf>
    <xf numFmtId="49" fontId="44" fillId="0" borderId="19" xfId="15" applyNumberFormat="1" applyFont="1" applyFill="1" applyBorder="1" applyAlignment="1">
      <alignment vertical="center"/>
    </xf>
    <xf numFmtId="3" fontId="49" fillId="7" borderId="49" xfId="15" applyNumberFormat="1" applyFont="1" applyFill="1" applyBorder="1" applyAlignment="1">
      <alignment vertical="center"/>
    </xf>
    <xf numFmtId="3" fontId="49" fillId="11" borderId="49" xfId="15" applyNumberFormat="1" applyFont="1" applyFill="1" applyBorder="1" applyAlignment="1">
      <alignment vertical="center"/>
    </xf>
    <xf numFmtId="49" fontId="44" fillId="0" borderId="6" xfId="15" applyNumberFormat="1" applyFont="1" applyFill="1" applyBorder="1" applyAlignment="1">
      <alignment vertical="center"/>
    </xf>
    <xf numFmtId="3" fontId="44" fillId="12" borderId="48" xfId="15" applyNumberFormat="1" applyFont="1" applyFill="1" applyBorder="1" applyAlignment="1">
      <alignment vertical="center"/>
    </xf>
    <xf numFmtId="49" fontId="44" fillId="0" borderId="0" xfId="15" applyNumberFormat="1" applyFont="1" applyFill="1" applyBorder="1" applyAlignment="1">
      <alignment vertical="center"/>
    </xf>
    <xf numFmtId="4" fontId="44" fillId="0" borderId="0" xfId="15" applyNumberFormat="1" applyFont="1" applyFill="1" applyBorder="1" applyAlignment="1">
      <alignment vertical="center"/>
    </xf>
    <xf numFmtId="4" fontId="44" fillId="0" borderId="0" xfId="15" applyNumberFormat="1" applyFont="1" applyFill="1" applyBorder="1" applyAlignment="1">
      <alignment horizontal="right" vertical="center"/>
    </xf>
    <xf numFmtId="4" fontId="27" fillId="11" borderId="11" xfId="15" applyNumberFormat="1" applyFont="1" applyFill="1" applyBorder="1" applyAlignment="1">
      <alignment vertical="center"/>
    </xf>
    <xf numFmtId="4" fontId="27" fillId="11" borderId="27" xfId="15" applyNumberFormat="1" applyFont="1" applyFill="1" applyBorder="1" applyAlignment="1">
      <alignment vertical="center"/>
    </xf>
    <xf numFmtId="4" fontId="47" fillId="12" borderId="37" xfId="15" applyNumberFormat="1" applyFont="1" applyFill="1" applyBorder="1" applyAlignment="1">
      <alignment horizontal="right" vertical="center"/>
    </xf>
    <xf numFmtId="4" fontId="47" fillId="0" borderId="0" xfId="15" applyNumberFormat="1" applyFont="1" applyFill="1" applyBorder="1" applyAlignment="1">
      <alignment vertical="center"/>
    </xf>
    <xf numFmtId="4" fontId="47" fillId="0" borderId="0" xfId="15" applyNumberFormat="1" applyFont="1" applyFill="1" applyBorder="1" applyAlignment="1">
      <alignment horizontal="right" vertical="center"/>
    </xf>
    <xf numFmtId="49" fontId="8" fillId="0" borderId="0" xfId="15" applyNumberFormat="1" applyFont="1" applyAlignment="1">
      <alignment vertical="center"/>
    </xf>
    <xf numFmtId="4" fontId="8" fillId="0" borderId="0" xfId="15" applyNumberFormat="1" applyFont="1" applyFill="1" applyAlignment="1">
      <alignment vertical="center"/>
    </xf>
    <xf numFmtId="4" fontId="8" fillId="0" borderId="0" xfId="15" applyNumberFormat="1" applyFont="1" applyAlignment="1">
      <alignment vertical="center"/>
    </xf>
    <xf numFmtId="0" fontId="41" fillId="0" borderId="0" xfId="15" applyFont="1" applyFill="1" applyAlignment="1">
      <alignment horizontal="center" vertical="center"/>
    </xf>
    <xf numFmtId="4" fontId="41" fillId="0" borderId="0" xfId="15" applyNumberFormat="1" applyFont="1" applyFill="1" applyAlignment="1">
      <alignment horizontal="center" vertical="center"/>
    </xf>
    <xf numFmtId="4" fontId="46" fillId="0" borderId="0" xfId="15" applyNumberFormat="1" applyFont="1" applyFill="1" applyAlignment="1">
      <alignment horizontal="center" vertical="center"/>
    </xf>
    <xf numFmtId="4" fontId="47" fillId="12" borderId="37" xfId="15" applyNumberFormat="1" applyFont="1" applyFill="1" applyBorder="1" applyAlignment="1">
      <alignment vertical="center"/>
    </xf>
    <xf numFmtId="4" fontId="27" fillId="11" borderId="55" xfId="15" applyNumberFormat="1" applyFont="1" applyFill="1" applyBorder="1" applyAlignment="1">
      <alignment vertical="center"/>
    </xf>
    <xf numFmtId="4" fontId="27" fillId="11" borderId="37" xfId="15" applyNumberFormat="1" applyFont="1" applyFill="1" applyBorder="1" applyAlignment="1">
      <alignment vertical="center"/>
    </xf>
    <xf numFmtId="4" fontId="47" fillId="11" borderId="37" xfId="15" applyNumberFormat="1" applyFont="1" applyFill="1" applyBorder="1" applyAlignment="1">
      <alignment vertical="center"/>
    </xf>
    <xf numFmtId="4" fontId="49" fillId="11" borderId="11" xfId="15" applyNumberFormat="1" applyFont="1" applyFill="1" applyBorder="1" applyAlignment="1">
      <alignment horizontal="right" vertical="center"/>
    </xf>
    <xf numFmtId="4" fontId="49" fillId="11" borderId="27" xfId="15" applyNumberFormat="1" applyFont="1" applyFill="1" applyBorder="1" applyAlignment="1">
      <alignment horizontal="right" vertical="center"/>
    </xf>
    <xf numFmtId="4" fontId="49" fillId="11" borderId="37" xfId="15" applyNumberFormat="1" applyFont="1" applyFill="1" applyBorder="1" applyAlignment="1">
      <alignment horizontal="right" vertical="center"/>
    </xf>
    <xf numFmtId="3" fontId="27" fillId="7" borderId="49" xfId="15" applyNumberFormat="1" applyFont="1" applyFill="1" applyBorder="1" applyAlignment="1">
      <alignment horizontal="right" vertical="center"/>
    </xf>
    <xf numFmtId="3" fontId="27" fillId="7" borderId="26" xfId="15" applyNumberFormat="1" applyFont="1" applyFill="1" applyBorder="1" applyAlignment="1">
      <alignment horizontal="right" vertical="center"/>
    </xf>
    <xf numFmtId="3" fontId="47" fillId="12" borderId="47" xfId="15" applyNumberFormat="1" applyFont="1" applyFill="1" applyBorder="1" applyAlignment="1">
      <alignment vertical="center"/>
    </xf>
    <xf numFmtId="3" fontId="47" fillId="12" borderId="48" xfId="15" applyNumberFormat="1" applyFont="1" applyFill="1" applyBorder="1" applyAlignment="1">
      <alignment vertical="center"/>
    </xf>
    <xf numFmtId="49" fontId="44" fillId="8" borderId="0" xfId="15" applyNumberFormat="1" applyFont="1" applyFill="1" applyBorder="1" applyAlignment="1">
      <alignment vertical="center"/>
    </xf>
    <xf numFmtId="4" fontId="44" fillId="8" borderId="0" xfId="15" applyNumberFormat="1" applyFont="1" applyFill="1" applyBorder="1" applyAlignment="1">
      <alignment vertical="center"/>
    </xf>
    <xf numFmtId="4" fontId="27" fillId="8" borderId="0" xfId="15" applyNumberFormat="1" applyFont="1" applyFill="1" applyBorder="1" applyAlignment="1">
      <alignment vertical="center"/>
    </xf>
    <xf numFmtId="4" fontId="47" fillId="8" borderId="0" xfId="15" applyNumberFormat="1" applyFont="1" applyFill="1" applyBorder="1" applyAlignment="1">
      <alignment horizontal="right" vertical="center"/>
    </xf>
    <xf numFmtId="4" fontId="27" fillId="13" borderId="0" xfId="15" applyNumberFormat="1" applyFont="1" applyFill="1" applyBorder="1" applyAlignment="1">
      <alignment horizontal="right" vertical="center"/>
    </xf>
    <xf numFmtId="4" fontId="41" fillId="12" borderId="37" xfId="15" applyNumberFormat="1" applyFont="1" applyFill="1" applyBorder="1" applyAlignment="1">
      <alignment horizontal="center" vertical="center" wrapText="1"/>
    </xf>
    <xf numFmtId="4" fontId="49" fillId="11" borderId="55" xfId="15" applyNumberFormat="1" applyFont="1" applyFill="1" applyBorder="1" applyAlignment="1">
      <alignment horizontal="right" vertical="center"/>
    </xf>
    <xf numFmtId="0" fontId="8" fillId="0" borderId="0" xfId="15" applyFont="1" applyAlignment="1">
      <alignment vertical="center"/>
    </xf>
    <xf numFmtId="4" fontId="27" fillId="12" borderId="37" xfId="15" applyNumberFormat="1" applyFont="1" applyFill="1" applyBorder="1" applyAlignment="1">
      <alignment horizontal="right" vertical="center"/>
    </xf>
    <xf numFmtId="3" fontId="27" fillId="15" borderId="49" xfId="15" applyNumberFormat="1" applyFont="1" applyFill="1" applyBorder="1" applyAlignment="1">
      <alignment vertical="center"/>
    </xf>
    <xf numFmtId="3" fontId="27" fillId="15" borderId="26" xfId="4" applyNumberFormat="1" applyFont="1" applyFill="1" applyBorder="1" applyAlignment="1">
      <alignment vertical="center"/>
    </xf>
    <xf numFmtId="0" fontId="8" fillId="0" borderId="0" xfId="15" applyFill="1" applyAlignment="1">
      <alignment vertical="center"/>
    </xf>
    <xf numFmtId="3" fontId="27" fillId="11" borderId="49" xfId="15" applyNumberFormat="1" applyFont="1" applyFill="1" applyBorder="1" applyAlignment="1">
      <alignment horizontal="right" vertical="center"/>
    </xf>
    <xf numFmtId="3" fontId="27" fillId="7" borderId="12" xfId="15" applyNumberFormat="1" applyFont="1" applyFill="1" applyBorder="1" applyAlignment="1">
      <alignment horizontal="right" vertical="center"/>
    </xf>
    <xf numFmtId="3" fontId="27" fillId="11" borderId="12" xfId="15" applyNumberFormat="1" applyFont="1" applyFill="1" applyBorder="1" applyAlignment="1">
      <alignment horizontal="right" vertical="center"/>
    </xf>
    <xf numFmtId="3" fontId="27" fillId="11" borderId="26" xfId="15" applyNumberFormat="1" applyFont="1" applyFill="1" applyBorder="1" applyAlignment="1">
      <alignment horizontal="right" vertical="center"/>
    </xf>
    <xf numFmtId="3" fontId="44" fillId="7" borderId="48" xfId="15" applyNumberFormat="1" applyFont="1" applyFill="1" applyBorder="1" applyAlignment="1">
      <alignment vertical="center"/>
    </xf>
    <xf numFmtId="3" fontId="44" fillId="11" borderId="48" xfId="15" applyNumberFormat="1" applyFont="1" applyFill="1" applyBorder="1" applyAlignment="1">
      <alignment vertical="center"/>
    </xf>
    <xf numFmtId="3" fontId="47" fillId="11" borderId="48" xfId="4" applyNumberFormat="1" applyFont="1" applyFill="1" applyBorder="1" applyAlignment="1">
      <alignment horizontal="right" vertical="center"/>
    </xf>
    <xf numFmtId="3" fontId="47" fillId="7" borderId="48" xfId="15" applyNumberFormat="1" applyFont="1" applyFill="1" applyBorder="1" applyAlignment="1">
      <alignment horizontal="right" vertical="center"/>
    </xf>
    <xf numFmtId="3" fontId="47" fillId="11" borderId="48" xfId="15" applyNumberFormat="1" applyFont="1" applyFill="1" applyBorder="1" applyAlignment="1">
      <alignment horizontal="right" vertical="center"/>
    </xf>
    <xf numFmtId="3" fontId="27" fillId="7" borderId="48" xfId="15" applyNumberFormat="1" applyFont="1" applyFill="1" applyBorder="1" applyAlignment="1">
      <alignment horizontal="right" vertical="center"/>
    </xf>
    <xf numFmtId="3" fontId="27" fillId="11" borderId="48" xfId="15" applyNumberFormat="1" applyFont="1" applyFill="1" applyBorder="1" applyAlignment="1">
      <alignment horizontal="right" vertical="center"/>
    </xf>
    <xf numFmtId="3" fontId="47" fillId="12" borderId="48" xfId="15" applyNumberFormat="1" applyFont="1" applyFill="1" applyBorder="1" applyAlignment="1">
      <alignment horizontal="right" vertical="center"/>
    </xf>
    <xf numFmtId="4" fontId="27" fillId="0" borderId="0" xfId="15" applyNumberFormat="1" applyFont="1" applyFill="1" applyBorder="1" applyAlignment="1">
      <alignment horizontal="right" vertical="center"/>
    </xf>
    <xf numFmtId="49" fontId="42" fillId="0" borderId="0" xfId="15" applyNumberFormat="1" applyFont="1" applyAlignment="1">
      <alignment horizontal="left" vertical="center"/>
    </xf>
    <xf numFmtId="4" fontId="42" fillId="0" borderId="0" xfId="15" applyNumberFormat="1" applyFont="1" applyAlignment="1">
      <alignment horizontal="left" vertical="center"/>
    </xf>
    <xf numFmtId="4" fontId="44" fillId="12" borderId="37" xfId="15" applyNumberFormat="1" applyFont="1" applyFill="1" applyBorder="1" applyAlignment="1">
      <alignment vertical="center"/>
    </xf>
    <xf numFmtId="3" fontId="46" fillId="11" borderId="49" xfId="15" applyNumberFormat="1" applyFont="1" applyFill="1" applyBorder="1" applyAlignment="1">
      <alignment vertical="center"/>
    </xf>
    <xf numFmtId="3" fontId="27" fillId="11" borderId="49" xfId="15" applyNumberFormat="1" applyFont="1" applyFill="1" applyBorder="1" applyAlignment="1">
      <alignment vertical="center"/>
    </xf>
    <xf numFmtId="3" fontId="46" fillId="11" borderId="12" xfId="15" applyNumberFormat="1" applyFont="1" applyFill="1" applyBorder="1" applyAlignment="1">
      <alignment vertical="center"/>
    </xf>
    <xf numFmtId="3" fontId="27" fillId="11" borderId="12" xfId="15" applyNumberFormat="1" applyFont="1" applyFill="1" applyBorder="1" applyAlignment="1">
      <alignment vertical="center"/>
    </xf>
    <xf numFmtId="3" fontId="46" fillId="16" borderId="26" xfId="15" applyNumberFormat="1" applyFont="1" applyFill="1" applyBorder="1" applyAlignment="1">
      <alignment vertical="center"/>
    </xf>
    <xf numFmtId="3" fontId="27" fillId="7" borderId="26" xfId="15" applyNumberFormat="1" applyFont="1" applyFill="1" applyBorder="1" applyAlignment="1">
      <alignment vertical="center"/>
    </xf>
    <xf numFmtId="3" fontId="27" fillId="16" borderId="26" xfId="15" applyNumberFormat="1" applyFont="1" applyFill="1" applyBorder="1" applyAlignment="1">
      <alignment vertical="center"/>
    </xf>
    <xf numFmtId="4" fontId="27" fillId="17" borderId="27" xfId="15" applyNumberFormat="1" applyFont="1" applyFill="1" applyBorder="1" applyAlignment="1">
      <alignment vertical="center"/>
    </xf>
    <xf numFmtId="3" fontId="27" fillId="11" borderId="26" xfId="15" applyNumberFormat="1" applyFont="1" applyFill="1" applyBorder="1" applyAlignment="1">
      <alignment vertical="center"/>
    </xf>
    <xf numFmtId="3" fontId="44" fillId="11" borderId="26" xfId="15" applyNumberFormat="1" applyFont="1" applyFill="1" applyBorder="1" applyAlignment="1">
      <alignment vertical="center"/>
    </xf>
    <xf numFmtId="3" fontId="27" fillId="11" borderId="48" xfId="15" applyNumberFormat="1" applyFont="1" applyFill="1" applyBorder="1" applyAlignment="1">
      <alignment vertical="center"/>
    </xf>
    <xf numFmtId="3" fontId="27" fillId="7" borderId="48" xfId="15" applyNumberFormat="1" applyFont="1" applyFill="1" applyBorder="1" applyAlignment="1">
      <alignment vertical="center"/>
    </xf>
    <xf numFmtId="4" fontId="46" fillId="11" borderId="11" xfId="15" applyNumberFormat="1" applyFont="1" applyFill="1" applyBorder="1" applyAlignment="1">
      <alignment vertical="center"/>
    </xf>
    <xf numFmtId="3" fontId="44" fillId="12" borderId="22" xfId="15" applyNumberFormat="1" applyFont="1" applyFill="1" applyBorder="1" applyAlignment="1">
      <alignment vertical="center"/>
    </xf>
    <xf numFmtId="4" fontId="47" fillId="12" borderId="15" xfId="15" applyNumberFormat="1" applyFont="1" applyFill="1" applyBorder="1" applyAlignment="1">
      <alignment vertical="center"/>
    </xf>
    <xf numFmtId="49" fontId="8" fillId="0" borderId="0" xfId="15" applyNumberFormat="1" applyAlignment="1">
      <alignment vertical="center"/>
    </xf>
    <xf numFmtId="4" fontId="8" fillId="0" borderId="0" xfId="15" applyNumberFormat="1" applyAlignment="1">
      <alignment vertical="center"/>
    </xf>
    <xf numFmtId="49" fontId="40" fillId="0" borderId="0" xfId="15" applyNumberFormat="1" applyFont="1" applyAlignment="1">
      <alignment horizontal="center" vertical="center"/>
    </xf>
    <xf numFmtId="0" fontId="1" fillId="0" borderId="0" xfId="70" applyAlignment="1">
      <alignment horizontal="center" vertical="center"/>
    </xf>
    <xf numFmtId="3" fontId="47" fillId="7" borderId="47" xfId="15" applyNumberFormat="1" applyFont="1" applyFill="1" applyBorder="1" applyAlignment="1">
      <alignment vertical="center"/>
    </xf>
    <xf numFmtId="49" fontId="41" fillId="13" borderId="6" xfId="15" applyNumberFormat="1" applyFont="1" applyFill="1" applyBorder="1" applyAlignment="1">
      <alignment vertical="center"/>
    </xf>
    <xf numFmtId="49" fontId="41" fillId="0" borderId="19" xfId="15" applyNumberFormat="1" applyFont="1" applyFill="1" applyBorder="1" applyAlignment="1">
      <alignment vertical="center"/>
    </xf>
    <xf numFmtId="0" fontId="48" fillId="0" borderId="18" xfId="5" applyFont="1" applyBorder="1"/>
    <xf numFmtId="0" fontId="41" fillId="0" borderId="18" xfId="5" applyFont="1" applyBorder="1"/>
    <xf numFmtId="3" fontId="27" fillId="7" borderId="54" xfId="15" applyNumberFormat="1" applyFont="1" applyFill="1" applyBorder="1" applyAlignment="1">
      <alignment horizontal="right" vertical="center"/>
    </xf>
    <xf numFmtId="3" fontId="27" fillId="7" borderId="25" xfId="15" applyNumberFormat="1" applyFont="1" applyFill="1" applyBorder="1" applyAlignment="1">
      <alignment horizontal="right" vertical="center"/>
    </xf>
    <xf numFmtId="4" fontId="47" fillId="11" borderId="55" xfId="15" applyNumberFormat="1" applyFont="1" applyFill="1" applyBorder="1" applyAlignment="1">
      <alignment horizontal="right" vertical="center"/>
    </xf>
    <xf numFmtId="4" fontId="47" fillId="11" borderId="27" xfId="15" applyNumberFormat="1" applyFont="1" applyFill="1" applyBorder="1" applyAlignment="1">
      <alignment horizontal="right" vertical="center"/>
    </xf>
    <xf numFmtId="4" fontId="27" fillId="15" borderId="55" xfId="15" applyNumberFormat="1" applyFont="1" applyFill="1" applyBorder="1" applyAlignment="1">
      <alignment horizontal="right" vertical="center"/>
    </xf>
    <xf numFmtId="4" fontId="27" fillId="15" borderId="27" xfId="15" applyNumberFormat="1" applyFont="1" applyFill="1" applyBorder="1" applyAlignment="1">
      <alignment horizontal="right" vertical="center"/>
    </xf>
    <xf numFmtId="3" fontId="44" fillId="7" borderId="47" xfId="15" applyNumberFormat="1" applyFont="1" applyFill="1" applyBorder="1" applyAlignment="1">
      <alignment vertical="center"/>
    </xf>
    <xf numFmtId="4" fontId="47" fillId="11" borderId="11" xfId="15" applyNumberFormat="1" applyFont="1" applyFill="1" applyBorder="1" applyAlignment="1">
      <alignment horizontal="right" vertical="center"/>
    </xf>
    <xf numFmtId="4" fontId="46" fillId="11" borderId="55" xfId="15" applyNumberFormat="1" applyFont="1" applyFill="1" applyBorder="1" applyAlignment="1">
      <alignment vertical="center"/>
    </xf>
    <xf numFmtId="3" fontId="27" fillId="7" borderId="54" xfId="15" applyNumberFormat="1" applyFont="1" applyFill="1" applyBorder="1" applyAlignment="1">
      <alignment vertical="center"/>
    </xf>
    <xf numFmtId="3" fontId="27" fillId="7" borderId="20" xfId="15" applyNumberFormat="1" applyFont="1" applyFill="1" applyBorder="1" applyAlignment="1">
      <alignment vertical="center"/>
    </xf>
    <xf numFmtId="4" fontId="46" fillId="17" borderId="27" xfId="15" applyNumberFormat="1" applyFont="1" applyFill="1" applyBorder="1" applyAlignment="1">
      <alignment vertical="center"/>
    </xf>
    <xf numFmtId="3" fontId="27" fillId="7" borderId="25" xfId="15" applyNumberFormat="1" applyFont="1" applyFill="1" applyBorder="1" applyAlignment="1">
      <alignment vertical="center"/>
    </xf>
    <xf numFmtId="4" fontId="46" fillId="11" borderId="27" xfId="15" applyNumberFormat="1" applyFont="1" applyFill="1" applyBorder="1" applyAlignment="1">
      <alignment vertical="center"/>
    </xf>
    <xf numFmtId="4" fontId="46" fillId="11" borderId="37" xfId="15" applyNumberFormat="1" applyFont="1" applyFill="1" applyBorder="1" applyAlignment="1">
      <alignment vertical="center"/>
    </xf>
    <xf numFmtId="3" fontId="27" fillId="7" borderId="47" xfId="15" applyNumberFormat="1" applyFont="1" applyFill="1" applyBorder="1" applyAlignment="1">
      <alignment vertical="center"/>
    </xf>
    <xf numFmtId="3" fontId="44" fillId="12" borderId="37" xfId="4" applyNumberFormat="1" applyFont="1" applyFill="1" applyBorder="1" applyAlignment="1">
      <alignment vertical="center"/>
    </xf>
    <xf numFmtId="3" fontId="49" fillId="7" borderId="54" xfId="15" applyNumberFormat="1" applyFont="1" applyFill="1" applyBorder="1" applyAlignment="1">
      <alignment vertical="center"/>
    </xf>
    <xf numFmtId="3" fontId="44" fillId="12" borderId="21" xfId="15" applyNumberFormat="1" applyFont="1" applyFill="1" applyBorder="1" applyAlignment="1">
      <alignment vertical="center"/>
    </xf>
    <xf numFmtId="4" fontId="44" fillId="12" borderId="15" xfId="15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9" fillId="9" borderId="3" xfId="16" applyFont="1" applyFill="1" applyBorder="1" applyAlignment="1">
      <alignment horizontal="center" vertical="center" wrapText="1"/>
    </xf>
    <xf numFmtId="0" fontId="19" fillId="9" borderId="5" xfId="16" applyFont="1" applyFill="1" applyBorder="1" applyAlignment="1">
      <alignment horizontal="center" vertical="center" wrapText="1"/>
    </xf>
    <xf numFmtId="0" fontId="19" fillId="9" borderId="33" xfId="1" applyFont="1" applyFill="1" applyBorder="1" applyAlignment="1">
      <alignment horizontal="center" vertical="center" wrapText="1"/>
    </xf>
    <xf numFmtId="0" fontId="19" fillId="9" borderId="24" xfId="1" applyFont="1" applyFill="1" applyBorder="1" applyAlignment="1">
      <alignment horizontal="center" vertical="center" wrapText="1"/>
    </xf>
    <xf numFmtId="0" fontId="19" fillId="9" borderId="34" xfId="1" applyFont="1" applyFill="1" applyBorder="1" applyAlignment="1">
      <alignment horizontal="center" vertical="center" wrapText="1"/>
    </xf>
    <xf numFmtId="0" fontId="19" fillId="9" borderId="35" xfId="1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center" vertical="center" wrapText="1"/>
    </xf>
    <xf numFmtId="0" fontId="19" fillId="9" borderId="36" xfId="1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horizontal="center" vertical="center" wrapText="1"/>
    </xf>
    <xf numFmtId="0" fontId="19" fillId="4" borderId="41" xfId="1" applyFont="1" applyFill="1" applyBorder="1" applyAlignment="1">
      <alignment horizontal="left" indent="1"/>
    </xf>
    <xf numFmtId="0" fontId="21" fillId="4" borderId="42" xfId="0" applyFont="1" applyFill="1" applyBorder="1" applyAlignment="1">
      <alignment horizontal="left" indent="1"/>
    </xf>
    <xf numFmtId="0" fontId="23" fillId="0" borderId="14" xfId="0" applyFont="1" applyBorder="1" applyAlignment="1">
      <alignment horizontal="left" indent="1"/>
    </xf>
    <xf numFmtId="0" fontId="19" fillId="9" borderId="3" xfId="1" applyFont="1" applyFill="1" applyBorder="1" applyAlignment="1">
      <alignment horizontal="left" vertical="center" indent="1"/>
    </xf>
    <xf numFmtId="0" fontId="19" fillId="9" borderId="4" xfId="1" applyFont="1" applyFill="1" applyBorder="1" applyAlignment="1">
      <alignment horizontal="left" vertical="center" indent="1"/>
    </xf>
    <xf numFmtId="0" fontId="19" fillId="9" borderId="5" xfId="1" applyFont="1" applyFill="1" applyBorder="1" applyAlignment="1">
      <alignment horizontal="left" vertical="center" indent="1"/>
    </xf>
    <xf numFmtId="3" fontId="19" fillId="2" borderId="41" xfId="0" applyNumberFormat="1" applyFont="1" applyFill="1" applyBorder="1" applyAlignment="1">
      <alignment horizontal="center"/>
    </xf>
    <xf numFmtId="3" fontId="19" fillId="2" borderId="14" xfId="0" applyNumberFormat="1" applyFont="1" applyFill="1" applyBorder="1" applyAlignment="1">
      <alignment horizontal="center"/>
    </xf>
    <xf numFmtId="0" fontId="19" fillId="2" borderId="41" xfId="1" applyFont="1" applyFill="1" applyBorder="1" applyAlignment="1">
      <alignment horizontal="left" indent="2"/>
    </xf>
    <xf numFmtId="0" fontId="19" fillId="2" borderId="42" xfId="1" applyFont="1" applyFill="1" applyBorder="1" applyAlignment="1">
      <alignment horizontal="left" indent="2"/>
    </xf>
    <xf numFmtId="0" fontId="19" fillId="2" borderId="14" xfId="1" applyFont="1" applyFill="1" applyBorder="1" applyAlignment="1">
      <alignment horizontal="left" indent="2"/>
    </xf>
    <xf numFmtId="3" fontId="23" fillId="7" borderId="43" xfId="0" applyNumberFormat="1" applyFont="1" applyFill="1" applyBorder="1" applyAlignment="1">
      <alignment horizontal="center"/>
    </xf>
    <xf numFmtId="3" fontId="23" fillId="7" borderId="7" xfId="0" applyNumberFormat="1" applyFont="1" applyFill="1" applyBorder="1" applyAlignment="1">
      <alignment horizontal="center"/>
    </xf>
    <xf numFmtId="0" fontId="23" fillId="0" borderId="44" xfId="1" applyFont="1" applyFill="1" applyBorder="1" applyAlignment="1">
      <alignment horizontal="left"/>
    </xf>
    <xf numFmtId="0" fontId="23" fillId="0" borderId="46" xfId="1" applyFont="1" applyFill="1" applyBorder="1" applyAlignment="1">
      <alignment horizontal="left"/>
    </xf>
    <xf numFmtId="0" fontId="23" fillId="0" borderId="10" xfId="1" applyFont="1" applyFill="1" applyBorder="1" applyAlignment="1">
      <alignment horizontal="left"/>
    </xf>
    <xf numFmtId="3" fontId="23" fillId="7" borderId="44" xfId="0" applyNumberFormat="1" applyFont="1" applyFill="1" applyBorder="1" applyAlignment="1">
      <alignment horizontal="center"/>
    </xf>
    <xf numFmtId="3" fontId="23" fillId="7" borderId="10" xfId="0" applyNumberFormat="1" applyFont="1" applyFill="1" applyBorder="1" applyAlignment="1">
      <alignment horizontal="center"/>
    </xf>
    <xf numFmtId="0" fontId="23" fillId="0" borderId="43" xfId="1" applyFont="1" applyFill="1" applyBorder="1" applyAlignment="1">
      <alignment horizontal="left"/>
    </xf>
    <xf numFmtId="0" fontId="23" fillId="0" borderId="45" xfId="1" applyFont="1" applyFill="1" applyBorder="1" applyAlignment="1">
      <alignment horizontal="left"/>
    </xf>
    <xf numFmtId="0" fontId="23" fillId="0" borderId="7" xfId="1" applyFont="1" applyFill="1" applyBorder="1" applyAlignment="1">
      <alignment horizontal="left"/>
    </xf>
    <xf numFmtId="0" fontId="19" fillId="0" borderId="24" xfId="1" applyFont="1" applyFill="1" applyBorder="1" applyAlignment="1">
      <alignment horizontal="left"/>
    </xf>
    <xf numFmtId="0" fontId="19" fillId="2" borderId="41" xfId="1" applyFont="1" applyFill="1" applyBorder="1" applyAlignment="1"/>
    <xf numFmtId="0" fontId="19" fillId="2" borderId="42" xfId="1" applyFont="1" applyFill="1" applyBorder="1" applyAlignment="1"/>
    <xf numFmtId="0" fontId="19" fillId="2" borderId="14" xfId="1" applyFont="1" applyFill="1" applyBorder="1" applyAlignment="1"/>
    <xf numFmtId="3" fontId="23" fillId="11" borderId="44" xfId="0" applyNumberFormat="1" applyFont="1" applyFill="1" applyBorder="1" applyAlignment="1">
      <alignment horizontal="center"/>
    </xf>
    <xf numFmtId="3" fontId="23" fillId="11" borderId="10" xfId="0" applyNumberFormat="1" applyFont="1" applyFill="1" applyBorder="1" applyAlignment="1">
      <alignment horizontal="center"/>
    </xf>
    <xf numFmtId="4" fontId="23" fillId="11" borderId="50" xfId="0" applyNumberFormat="1" applyFont="1" applyFill="1" applyBorder="1" applyAlignment="1">
      <alignment horizontal="center"/>
    </xf>
    <xf numFmtId="4" fontId="23" fillId="11" borderId="53" xfId="0" applyNumberFormat="1" applyFont="1" applyFill="1" applyBorder="1" applyAlignment="1">
      <alignment horizontal="center"/>
    </xf>
    <xf numFmtId="4" fontId="23" fillId="11" borderId="44" xfId="0" applyNumberFormat="1" applyFont="1" applyFill="1" applyBorder="1" applyAlignment="1">
      <alignment horizontal="center"/>
    </xf>
    <xf numFmtId="4" fontId="23" fillId="11" borderId="10" xfId="0" applyNumberFormat="1" applyFont="1" applyFill="1" applyBorder="1" applyAlignment="1">
      <alignment horizontal="center"/>
    </xf>
    <xf numFmtId="4" fontId="19" fillId="2" borderId="41" xfId="0" applyNumberFormat="1" applyFont="1" applyFill="1" applyBorder="1" applyAlignment="1">
      <alignment horizontal="center"/>
    </xf>
    <xf numFmtId="4" fontId="19" fillId="2" borderId="14" xfId="0" applyNumberFormat="1" applyFont="1" applyFill="1" applyBorder="1" applyAlignment="1">
      <alignment horizontal="center"/>
    </xf>
    <xf numFmtId="3" fontId="23" fillId="11" borderId="43" xfId="0" applyNumberFormat="1" applyFont="1" applyFill="1" applyBorder="1" applyAlignment="1">
      <alignment horizontal="center"/>
    </xf>
    <xf numFmtId="3" fontId="23" fillId="11" borderId="7" xfId="0" applyNumberFormat="1" applyFont="1" applyFill="1" applyBorder="1" applyAlignment="1">
      <alignment horizontal="center"/>
    </xf>
    <xf numFmtId="4" fontId="23" fillId="11" borderId="43" xfId="0" applyNumberFormat="1" applyFont="1" applyFill="1" applyBorder="1" applyAlignment="1">
      <alignment horizontal="center"/>
    </xf>
    <xf numFmtId="4" fontId="23" fillId="11" borderId="7" xfId="0" applyNumberFormat="1" applyFont="1" applyFill="1" applyBorder="1" applyAlignment="1">
      <alignment horizontal="center"/>
    </xf>
    <xf numFmtId="3" fontId="23" fillId="11" borderId="50" xfId="0" applyNumberFormat="1" applyFont="1" applyFill="1" applyBorder="1" applyAlignment="1">
      <alignment horizontal="center"/>
    </xf>
    <xf numFmtId="3" fontId="23" fillId="11" borderId="53" xfId="0" applyNumberFormat="1" applyFont="1" applyFill="1" applyBorder="1" applyAlignment="1">
      <alignment horizontal="center"/>
    </xf>
    <xf numFmtId="3" fontId="23" fillId="7" borderId="50" xfId="0" applyNumberFormat="1" applyFont="1" applyFill="1" applyBorder="1" applyAlignment="1">
      <alignment horizontal="center"/>
    </xf>
    <xf numFmtId="3" fontId="23" fillId="7" borderId="53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9" fontId="40" fillId="0" borderId="0" xfId="15" applyNumberFormat="1" applyFont="1" applyAlignment="1">
      <alignment horizontal="center" vertical="center"/>
    </xf>
    <xf numFmtId="0" fontId="1" fillId="0" borderId="0" xfId="70" applyAlignment="1">
      <alignment horizontal="center" vertical="center"/>
    </xf>
    <xf numFmtId="4" fontId="27" fillId="0" borderId="0" xfId="15" applyNumberFormat="1" applyFont="1" applyBorder="1" applyAlignment="1">
      <alignment horizontal="right" vertical="center" wrapText="1"/>
    </xf>
    <xf numFmtId="49" fontId="41" fillId="12" borderId="18" xfId="15" applyNumberFormat="1" applyFont="1" applyFill="1" applyBorder="1" applyAlignment="1">
      <alignment horizontal="center" vertical="center" wrapText="1"/>
    </xf>
    <xf numFmtId="49" fontId="41" fillId="12" borderId="23" xfId="15" applyNumberFormat="1" applyFont="1" applyFill="1" applyBorder="1" applyAlignment="1">
      <alignment horizontal="center" vertical="center" wrapText="1"/>
    </xf>
    <xf numFmtId="4" fontId="41" fillId="12" borderId="43" xfId="15" applyNumberFormat="1" applyFont="1" applyFill="1" applyBorder="1" applyAlignment="1">
      <alignment horizontal="center" vertical="center"/>
    </xf>
    <xf numFmtId="4" fontId="43" fillId="12" borderId="45" xfId="70" applyNumberFormat="1" applyFont="1" applyFill="1" applyBorder="1" applyAlignment="1">
      <alignment horizontal="center" vertical="center"/>
    </xf>
    <xf numFmtId="4" fontId="43" fillId="12" borderId="7" xfId="70" applyNumberFormat="1" applyFont="1" applyFill="1" applyBorder="1" applyAlignment="1">
      <alignment horizontal="center" vertical="center"/>
    </xf>
    <xf numFmtId="4" fontId="41" fillId="12" borderId="3" xfId="15" applyNumberFormat="1" applyFont="1" applyFill="1" applyBorder="1" applyAlignment="1">
      <alignment horizontal="center" vertical="center"/>
    </xf>
    <xf numFmtId="4" fontId="43" fillId="12" borderId="4" xfId="70" applyNumberFormat="1" applyFont="1" applyFill="1" applyBorder="1" applyAlignment="1">
      <alignment horizontal="center" vertical="center"/>
    </xf>
    <xf numFmtId="4" fontId="43" fillId="12" borderId="5" xfId="70" applyNumberFormat="1" applyFont="1" applyFill="1" applyBorder="1" applyAlignment="1">
      <alignment horizontal="center" vertical="center"/>
    </xf>
    <xf numFmtId="4" fontId="8" fillId="0" borderId="0" xfId="15" applyNumberFormat="1" applyFont="1" applyAlignment="1">
      <alignment horizontal="right" vertical="center" wrapText="1"/>
    </xf>
    <xf numFmtId="4" fontId="8" fillId="0" borderId="0" xfId="15" applyNumberFormat="1" applyFont="1" applyAlignment="1">
      <alignment horizontal="right" vertical="center"/>
    </xf>
    <xf numFmtId="0" fontId="42" fillId="0" borderId="0" xfId="15" applyFont="1" applyBorder="1" applyAlignment="1">
      <alignment horizontal="center" vertical="center"/>
    </xf>
    <xf numFmtId="4" fontId="41" fillId="12" borderId="33" xfId="15" applyNumberFormat="1" applyFont="1" applyFill="1" applyBorder="1" applyAlignment="1">
      <alignment horizontal="center" vertical="center"/>
    </xf>
    <xf numFmtId="4" fontId="43" fillId="12" borderId="24" xfId="70" applyNumberFormat="1" applyFont="1" applyFill="1" applyBorder="1" applyAlignment="1">
      <alignment horizontal="center" vertical="center"/>
    </xf>
    <xf numFmtId="4" fontId="43" fillId="12" borderId="34" xfId="70" applyNumberFormat="1" applyFont="1" applyFill="1" applyBorder="1" applyAlignment="1">
      <alignment horizontal="center" vertical="center"/>
    </xf>
  </cellXfs>
  <cellStyles count="71">
    <cellStyle name="Normálna" xfId="0" builtinId="0"/>
    <cellStyle name="Normálna 10" xfId="30"/>
    <cellStyle name="Normálna 10 2" xfId="31"/>
    <cellStyle name="Normálna 10 2 2" xfId="32"/>
    <cellStyle name="Normálna 10 2 2 2" xfId="33"/>
    <cellStyle name="Normálna 10 2 2_PRÍJMY 2020-22rozpis" xfId="34"/>
    <cellStyle name="Normálna 10 2 3" xfId="35"/>
    <cellStyle name="Normálna 10 2 3 2" xfId="36"/>
    <cellStyle name="Normálna 10 2 3 2 2" xfId="37"/>
    <cellStyle name="Normálna 10 2 3 2 3" xfId="38"/>
    <cellStyle name="Normálna 10 2 3 2_PRÍJMY 2020-22rozpis" xfId="39"/>
    <cellStyle name="Normálna 10 2 3 3" xfId="40"/>
    <cellStyle name="Normálna 10 2 3_PRÍJMY 2020-22rozpis" xfId="41"/>
    <cellStyle name="Normálna 10 2 4" xfId="42"/>
    <cellStyle name="Normálna 10 2_PRÍJMY 2020-22rozpis" xfId="43"/>
    <cellStyle name="Normálna 10 3" xfId="44"/>
    <cellStyle name="Normálna 10_PRÍJMY 2020-22rozpis" xfId="45"/>
    <cellStyle name="Normálna 11" xfId="46"/>
    <cellStyle name="Normálna 11 2" xfId="47"/>
    <cellStyle name="Normálna 11_PRÍJMY 2020-22rozpis" xfId="48"/>
    <cellStyle name="Normálna 12" xfId="49"/>
    <cellStyle name="Normálna 12 2" xfId="50"/>
    <cellStyle name="Normálna 12_PRÍJMY 2020-22rozpis" xfId="51"/>
    <cellStyle name="Normálna 13" xfId="52"/>
    <cellStyle name="Normálna 13 2" xfId="53"/>
    <cellStyle name="Normálna 13_PRÍJMY 2020-22rozpis" xfId="54"/>
    <cellStyle name="Normálna 14" xfId="55"/>
    <cellStyle name="Normálna 15" xfId="56"/>
    <cellStyle name="Normálna 16" xfId="67"/>
    <cellStyle name="Normálna 17" xfId="68"/>
    <cellStyle name="Normálna 18" xfId="69"/>
    <cellStyle name="Normálna 19" xfId="70"/>
    <cellStyle name="Normálna 2" xfId="4"/>
    <cellStyle name="Normálna 3" xfId="5"/>
    <cellStyle name="Normálna 3 2" xfId="6"/>
    <cellStyle name="Normálna 3 2 2" xfId="3"/>
    <cellStyle name="Normálna 4" xfId="7"/>
    <cellStyle name="Normálna 5" xfId="8"/>
    <cellStyle name="Normálna 6" xfId="9"/>
    <cellStyle name="Normálna 6 2" xfId="10"/>
    <cellStyle name="Normálna 6 2 2" xfId="57"/>
    <cellStyle name="Normálna 6 2_PRÍJMY 2020-22rozpis" xfId="58"/>
    <cellStyle name="Normálna 6 3" xfId="59"/>
    <cellStyle name="Normálna 6_PRÍJMY 2020-22rozpis" xfId="60"/>
    <cellStyle name="Normálna 7" xfId="11"/>
    <cellStyle name="Normálna 7 2" xfId="61"/>
    <cellStyle name="Normálna 7_PRÍJMY 2020-22rozpis" xfId="62"/>
    <cellStyle name="Normálna 8" xfId="12"/>
    <cellStyle name="Normálna 8 2" xfId="63"/>
    <cellStyle name="Normálna 8_PRÍJMY 2020-22rozpis" xfId="64"/>
    <cellStyle name="Normálna 9" xfId="13"/>
    <cellStyle name="Normálna 9 2" xfId="65"/>
    <cellStyle name="Normálna 9_PRÍJMY 2020-22rozpis" xfId="66"/>
    <cellStyle name="normálne 2" xfId="14"/>
    <cellStyle name="normální_Plnenie rozpočtu k 31 12 2008-ez" xfId="15"/>
    <cellStyle name="normální_Rozdel prvkov" xfId="1"/>
    <cellStyle name="normální_Rozdel prvkov 2 2" xfId="16"/>
    <cellStyle name="normální_úprava sept2010MZz 2 2" xfId="2"/>
    <cellStyle name="Percentá 2" xfId="17"/>
    <cellStyle name="Percentá 2 2" xfId="18"/>
    <cellStyle name="Percentá 2 3" xfId="19"/>
    <cellStyle name="Percentá 2 4" xfId="20"/>
    <cellStyle name="Percentá 2 4 2" xfId="21"/>
    <cellStyle name="Percentá 2 5" xfId="22"/>
    <cellStyle name="Percentá 2 6" xfId="23"/>
    <cellStyle name="Poznámka 2" xfId="24"/>
    <cellStyle name="Poznámka 2 2" xfId="25"/>
    <cellStyle name="Poznámka 3" xfId="26"/>
    <cellStyle name="Poznámka 4" xfId="27"/>
    <cellStyle name="Poznámka 4 2" xfId="28"/>
    <cellStyle name="Poznámka 5" xfId="29"/>
  </cellStyles>
  <dxfs count="0"/>
  <tableStyles count="0" defaultTableStyle="TableStyleMedium2" defaultPivotStyle="PivotStyleLight16"/>
  <colors>
    <mruColors>
      <color rgb="FFCCFFCC"/>
      <color rgb="FFCFF9C3"/>
      <color rgb="FFFFD699"/>
      <color rgb="FFFFCC99"/>
      <color rgb="FFFFFF99"/>
      <color rgb="FFC1F5CA"/>
      <color rgb="FFE9F6A8"/>
      <color rgb="FFD7F8C4"/>
      <color rgb="FF9FEFA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zoomScale="80" zoomScaleNormal="80" workbookViewId="0"/>
  </sheetViews>
  <sheetFormatPr defaultColWidth="9.140625" defaultRowHeight="12.75" x14ac:dyDescent="0.2"/>
  <cols>
    <col min="1" max="1" width="1.85546875" customWidth="1"/>
    <col min="2" max="2" width="64.7109375" customWidth="1"/>
    <col min="3" max="5" width="17.7109375" customWidth="1"/>
    <col min="6" max="6" width="16.28515625" customWidth="1"/>
    <col min="7" max="7" width="10.140625" bestFit="1" customWidth="1"/>
    <col min="9" max="9" width="10.140625" bestFit="1" customWidth="1"/>
  </cols>
  <sheetData>
    <row r="1" spans="2:6" ht="21.95" customHeight="1" x14ac:dyDescent="0.2">
      <c r="B1" s="443" t="s">
        <v>224</v>
      </c>
      <c r="C1" s="443"/>
      <c r="D1" s="443"/>
      <c r="E1" s="443"/>
    </row>
    <row r="2" spans="2:6" ht="21.95" customHeight="1" x14ac:dyDescent="0.35">
      <c r="B2" s="444" t="s">
        <v>248</v>
      </c>
      <c r="C2" s="444"/>
      <c r="D2" s="444"/>
      <c r="E2" s="444"/>
      <c r="F2" s="102"/>
    </row>
    <row r="3" spans="2:6" ht="33" customHeight="1" thickBot="1" x14ac:dyDescent="0.25">
      <c r="B3" s="442"/>
      <c r="C3" s="442"/>
      <c r="E3" s="103"/>
      <c r="F3" s="112" t="s">
        <v>0</v>
      </c>
    </row>
    <row r="4" spans="2:6" ht="45.95" customHeight="1" thickBot="1" x14ac:dyDescent="0.25">
      <c r="B4" s="104" t="s">
        <v>1</v>
      </c>
      <c r="C4" s="2" t="s">
        <v>228</v>
      </c>
      <c r="D4" s="2" t="s">
        <v>244</v>
      </c>
      <c r="E4" s="2" t="s">
        <v>245</v>
      </c>
      <c r="F4" s="2" t="s">
        <v>223</v>
      </c>
    </row>
    <row r="5" spans="2:6" ht="24" customHeight="1" x14ac:dyDescent="0.2">
      <c r="B5" s="105" t="s">
        <v>2</v>
      </c>
      <c r="C5" s="106">
        <f t="shared" ref="C5:D5" si="0">SUM(C6+C17+C27+C47)</f>
        <v>41346280</v>
      </c>
      <c r="D5" s="106">
        <f t="shared" si="0"/>
        <v>42286294</v>
      </c>
      <c r="E5" s="106">
        <f t="shared" ref="E5" si="1">SUM(E6+E17+E27+E47)</f>
        <v>21824723</v>
      </c>
      <c r="F5" s="200">
        <f t="shared" ref="F5" si="2">E5/D5*100</f>
        <v>51.61181303804964</v>
      </c>
    </row>
    <row r="6" spans="2:6" ht="21" customHeight="1" x14ac:dyDescent="0.2">
      <c r="B6" s="3" t="s">
        <v>3</v>
      </c>
      <c r="C6" s="107">
        <f t="shared" ref="C6:D6" si="3">SUM(C8+C9+C11+C12+C13+C14+C15+C16)</f>
        <v>23289437</v>
      </c>
      <c r="D6" s="107">
        <f t="shared" si="3"/>
        <v>23156584</v>
      </c>
      <c r="E6" s="203">
        <f t="shared" ref="E6" si="4">SUM(E8+E9+E11+E12+E13+E14+E15+E16)</f>
        <v>11799752</v>
      </c>
      <c r="F6" s="204">
        <f>E6/D6*100</f>
        <v>50.956358675355574</v>
      </c>
    </row>
    <row r="7" spans="2:6" ht="18.600000000000001" customHeight="1" x14ac:dyDescent="0.2">
      <c r="B7" s="4" t="s">
        <v>4</v>
      </c>
      <c r="C7" s="108"/>
      <c r="D7" s="108"/>
      <c r="E7" s="205"/>
      <c r="F7" s="206"/>
    </row>
    <row r="8" spans="2:6" ht="18.600000000000001" customHeight="1" x14ac:dyDescent="0.2">
      <c r="B8" s="4" t="s">
        <v>5</v>
      </c>
      <c r="C8" s="108">
        <v>156000</v>
      </c>
      <c r="D8" s="108">
        <v>156000</v>
      </c>
      <c r="E8" s="205">
        <v>142960</v>
      </c>
      <c r="F8" s="206">
        <f t="shared" ref="F8:F31" si="5">E8/D8*100</f>
        <v>91.641025641025635</v>
      </c>
    </row>
    <row r="9" spans="2:6" ht="18.600000000000001" customHeight="1" x14ac:dyDescent="0.2">
      <c r="B9" s="4" t="s">
        <v>6</v>
      </c>
      <c r="C9" s="108">
        <v>530000</v>
      </c>
      <c r="D9" s="108">
        <v>530000</v>
      </c>
      <c r="E9" s="205">
        <v>403934</v>
      </c>
      <c r="F9" s="206">
        <f t="shared" si="5"/>
        <v>76.21396226415095</v>
      </c>
    </row>
    <row r="10" spans="2:6" ht="18.600000000000001" customHeight="1" x14ac:dyDescent="0.2">
      <c r="B10" s="4" t="s">
        <v>7</v>
      </c>
      <c r="C10" s="108">
        <v>500000</v>
      </c>
      <c r="D10" s="108">
        <v>500000</v>
      </c>
      <c r="E10" s="205">
        <v>395085</v>
      </c>
      <c r="F10" s="206">
        <f t="shared" si="5"/>
        <v>79.01700000000001</v>
      </c>
    </row>
    <row r="11" spans="2:6" ht="18.600000000000001" customHeight="1" x14ac:dyDescent="0.2">
      <c r="B11" s="4" t="s">
        <v>8</v>
      </c>
      <c r="C11" s="108">
        <v>4000</v>
      </c>
      <c r="D11" s="108">
        <v>4000</v>
      </c>
      <c r="E11" s="205">
        <v>1715</v>
      </c>
      <c r="F11" s="206">
        <f t="shared" si="5"/>
        <v>42.875</v>
      </c>
    </row>
    <row r="12" spans="2:6" ht="18.600000000000001" customHeight="1" x14ac:dyDescent="0.2">
      <c r="B12" s="4" t="s">
        <v>9</v>
      </c>
      <c r="C12" s="108">
        <v>8000</v>
      </c>
      <c r="D12" s="108">
        <v>8000</v>
      </c>
      <c r="E12" s="205">
        <v>7825</v>
      </c>
      <c r="F12" s="206">
        <f t="shared" si="5"/>
        <v>97.8125</v>
      </c>
    </row>
    <row r="13" spans="2:6" ht="18.600000000000001" customHeight="1" x14ac:dyDescent="0.2">
      <c r="B13" s="4" t="s">
        <v>10</v>
      </c>
      <c r="C13" s="108">
        <v>18340568</v>
      </c>
      <c r="D13" s="108">
        <v>16883292</v>
      </c>
      <c r="E13" s="205">
        <v>9256909</v>
      </c>
      <c r="F13" s="206">
        <f t="shared" si="5"/>
        <v>54.828815375579595</v>
      </c>
    </row>
    <row r="14" spans="2:6" ht="18.600000000000001" customHeight="1" x14ac:dyDescent="0.2">
      <c r="B14" s="4" t="s">
        <v>11</v>
      </c>
      <c r="C14" s="108">
        <v>3500869</v>
      </c>
      <c r="D14" s="108">
        <v>4825292</v>
      </c>
      <c r="E14" s="205">
        <v>1686006</v>
      </c>
      <c r="F14" s="206">
        <f t="shared" si="5"/>
        <v>34.941014968627805</v>
      </c>
    </row>
    <row r="15" spans="2:6" ht="18.600000000000001" customHeight="1" x14ac:dyDescent="0.2">
      <c r="B15" s="4" t="s">
        <v>12</v>
      </c>
      <c r="C15" s="108">
        <v>750000</v>
      </c>
      <c r="D15" s="108">
        <v>750000</v>
      </c>
      <c r="E15" s="205">
        <v>300403</v>
      </c>
      <c r="F15" s="206">
        <f t="shared" si="5"/>
        <v>40.053733333333334</v>
      </c>
    </row>
    <row r="16" spans="2:6" ht="18.600000000000001" customHeight="1" x14ac:dyDescent="0.2">
      <c r="B16" s="4"/>
      <c r="C16" s="108"/>
      <c r="D16" s="108"/>
      <c r="E16" s="205"/>
      <c r="F16" s="206"/>
    </row>
    <row r="17" spans="2:9" ht="21" customHeight="1" x14ac:dyDescent="0.2">
      <c r="B17" s="3" t="s">
        <v>13</v>
      </c>
      <c r="C17" s="107">
        <f t="shared" ref="C17:D17" si="6">SUM(C18:C25)</f>
        <v>3029387</v>
      </c>
      <c r="D17" s="107">
        <f t="shared" si="6"/>
        <v>3029387</v>
      </c>
      <c r="E17" s="203">
        <f t="shared" ref="E17" si="7">SUM(E18:E25)</f>
        <v>1472671</v>
      </c>
      <c r="F17" s="204">
        <f t="shared" si="5"/>
        <v>48.612838174851873</v>
      </c>
    </row>
    <row r="18" spans="2:9" ht="18.600000000000001" customHeight="1" x14ac:dyDescent="0.2">
      <c r="B18" s="5" t="s">
        <v>14</v>
      </c>
      <c r="C18" s="108">
        <v>180000</v>
      </c>
      <c r="D18" s="108">
        <v>180000</v>
      </c>
      <c r="E18" s="205">
        <v>117592</v>
      </c>
      <c r="F18" s="206">
        <f t="shared" si="5"/>
        <v>65.328888888888898</v>
      </c>
    </row>
    <row r="19" spans="2:9" ht="18.600000000000001" customHeight="1" x14ac:dyDescent="0.2">
      <c r="B19" s="5" t="s">
        <v>15</v>
      </c>
      <c r="C19" s="108">
        <v>1350000</v>
      </c>
      <c r="D19" s="108">
        <v>1350000</v>
      </c>
      <c r="E19" s="205">
        <v>675023</v>
      </c>
      <c r="F19" s="206">
        <f t="shared" si="5"/>
        <v>50.001703703703704</v>
      </c>
    </row>
    <row r="20" spans="2:9" ht="18.600000000000001" customHeight="1" x14ac:dyDescent="0.2">
      <c r="B20" s="5" t="s">
        <v>16</v>
      </c>
      <c r="C20" s="108">
        <v>210207</v>
      </c>
      <c r="D20" s="108">
        <v>210207</v>
      </c>
      <c r="E20" s="205">
        <v>72993</v>
      </c>
      <c r="F20" s="206">
        <f t="shared" si="5"/>
        <v>34.724343147468922</v>
      </c>
    </row>
    <row r="21" spans="2:9" ht="18.600000000000001" customHeight="1" x14ac:dyDescent="0.2">
      <c r="B21" s="5" t="s">
        <v>17</v>
      </c>
      <c r="C21" s="108">
        <v>300000</v>
      </c>
      <c r="D21" s="108">
        <v>300000</v>
      </c>
      <c r="E21" s="205">
        <v>156680</v>
      </c>
      <c r="F21" s="206">
        <f t="shared" si="5"/>
        <v>52.226666666666667</v>
      </c>
    </row>
    <row r="22" spans="2:9" ht="18.600000000000001" customHeight="1" x14ac:dyDescent="0.2">
      <c r="B22" s="5" t="s">
        <v>18</v>
      </c>
      <c r="C22" s="108">
        <v>488800</v>
      </c>
      <c r="D22" s="108">
        <v>488800</v>
      </c>
      <c r="E22" s="205">
        <v>234184</v>
      </c>
      <c r="F22" s="206">
        <f t="shared" si="5"/>
        <v>47.909983633387888</v>
      </c>
    </row>
    <row r="23" spans="2:9" ht="18.600000000000001" customHeight="1" x14ac:dyDescent="0.2">
      <c r="B23" s="5" t="s">
        <v>225</v>
      </c>
      <c r="C23" s="108">
        <v>235970</v>
      </c>
      <c r="D23" s="108">
        <v>235970</v>
      </c>
      <c r="E23" s="205">
        <v>52109</v>
      </c>
      <c r="F23" s="206">
        <f t="shared" si="5"/>
        <v>22.082891893037253</v>
      </c>
    </row>
    <row r="24" spans="2:9" ht="18.600000000000001" customHeight="1" x14ac:dyDescent="0.2">
      <c r="B24" s="5" t="s">
        <v>19</v>
      </c>
      <c r="C24" s="108">
        <v>10000</v>
      </c>
      <c r="D24" s="108">
        <v>10000</v>
      </c>
      <c r="E24" s="205">
        <v>4687</v>
      </c>
      <c r="F24" s="206">
        <f t="shared" si="5"/>
        <v>46.87</v>
      </c>
    </row>
    <row r="25" spans="2:9" ht="18.600000000000001" customHeight="1" x14ac:dyDescent="0.2">
      <c r="B25" s="5" t="s">
        <v>20</v>
      </c>
      <c r="C25" s="108">
        <v>254410</v>
      </c>
      <c r="D25" s="108">
        <v>254410</v>
      </c>
      <c r="E25" s="205">
        <v>159403</v>
      </c>
      <c r="F25" s="206">
        <f t="shared" si="5"/>
        <v>62.655949058606183</v>
      </c>
    </row>
    <row r="26" spans="2:9" ht="18.600000000000001" customHeight="1" x14ac:dyDescent="0.2">
      <c r="B26" s="5"/>
      <c r="C26" s="108"/>
      <c r="D26" s="108"/>
      <c r="E26" s="205"/>
      <c r="F26" s="206"/>
    </row>
    <row r="27" spans="2:9" ht="21" customHeight="1" x14ac:dyDescent="0.2">
      <c r="B27" s="6" t="s">
        <v>21</v>
      </c>
      <c r="C27" s="109">
        <f t="shared" ref="C27:D27" si="8">SUM(C28+C45+C46)</f>
        <v>11971675</v>
      </c>
      <c r="D27" s="109">
        <f t="shared" si="8"/>
        <v>13043022</v>
      </c>
      <c r="E27" s="207">
        <f t="shared" ref="E27" si="9">SUM(E28+E45+E46)</f>
        <v>7457530</v>
      </c>
      <c r="F27" s="208">
        <f t="shared" si="5"/>
        <v>57.176396697023122</v>
      </c>
    </row>
    <row r="28" spans="2:9" ht="18.600000000000001" customHeight="1" x14ac:dyDescent="0.2">
      <c r="B28" s="5" t="s">
        <v>22</v>
      </c>
      <c r="C28" s="108">
        <f t="shared" ref="C28:D28" si="10">SUM(C29+C30+C31+C37+C38+C39+C40+C41+C42+C43+C44)</f>
        <v>11971675</v>
      </c>
      <c r="D28" s="108">
        <f t="shared" si="10"/>
        <v>12924651</v>
      </c>
      <c r="E28" s="205">
        <f t="shared" ref="E28" si="11">SUM(E29+E30+E31+E37+E38+E39+E40+E41+E42+E43+E44)</f>
        <v>7111103</v>
      </c>
      <c r="F28" s="206">
        <f t="shared" si="5"/>
        <v>55.019690667082621</v>
      </c>
    </row>
    <row r="29" spans="2:9" ht="18.600000000000001" customHeight="1" x14ac:dyDescent="0.2">
      <c r="B29" s="5" t="s">
        <v>23</v>
      </c>
      <c r="C29" s="108">
        <v>10042969</v>
      </c>
      <c r="D29" s="108">
        <v>10995945</v>
      </c>
      <c r="E29" s="205">
        <v>5638460</v>
      </c>
      <c r="F29" s="206">
        <f t="shared" si="5"/>
        <v>51.277630071812844</v>
      </c>
      <c r="G29" s="95"/>
      <c r="H29" s="95"/>
      <c r="I29" s="95"/>
    </row>
    <row r="30" spans="2:9" s="7" customFormat="1" ht="18.600000000000001" customHeight="1" x14ac:dyDescent="0.2">
      <c r="B30" s="4" t="s">
        <v>24</v>
      </c>
      <c r="C30" s="108">
        <v>286272</v>
      </c>
      <c r="D30" s="108">
        <v>286272</v>
      </c>
      <c r="E30" s="205">
        <v>154217</v>
      </c>
      <c r="F30" s="206">
        <f t="shared" si="5"/>
        <v>53.870794209702652</v>
      </c>
    </row>
    <row r="31" spans="2:9" s="7" customFormat="1" ht="18.600000000000001" customHeight="1" thickBot="1" x14ac:dyDescent="0.25">
      <c r="B31" s="8" t="s">
        <v>25</v>
      </c>
      <c r="C31" s="110">
        <v>32400</v>
      </c>
      <c r="D31" s="110">
        <v>32400</v>
      </c>
      <c r="E31" s="209">
        <v>16111</v>
      </c>
      <c r="F31" s="210">
        <f t="shared" si="5"/>
        <v>49.72530864197531</v>
      </c>
    </row>
    <row r="32" spans="2:9" s="7" customFormat="1" ht="22.15" customHeight="1" x14ac:dyDescent="0.2">
      <c r="B32" s="9"/>
      <c r="C32" s="111"/>
      <c r="D32" s="111"/>
      <c r="E32" s="111"/>
      <c r="F32" s="111"/>
    </row>
    <row r="33" spans="2:9" s="11" customFormat="1" ht="21.95" customHeight="1" x14ac:dyDescent="0.2">
      <c r="B33" s="445" t="s">
        <v>224</v>
      </c>
      <c r="C33" s="445"/>
      <c r="D33" s="445"/>
      <c r="E33" s="445"/>
    </row>
    <row r="34" spans="2:9" ht="21.95" customHeight="1" x14ac:dyDescent="0.2">
      <c r="B34" s="444" t="s">
        <v>248</v>
      </c>
      <c r="C34" s="444"/>
      <c r="D34" s="444"/>
      <c r="E34" s="444"/>
    </row>
    <row r="35" spans="2:9" ht="33" customHeight="1" thickBot="1" x14ac:dyDescent="0.25">
      <c r="B35" s="12"/>
      <c r="D35" s="112"/>
      <c r="E35" s="112"/>
      <c r="F35" s="112" t="s">
        <v>26</v>
      </c>
    </row>
    <row r="36" spans="2:9" ht="50.25" customHeight="1" thickBot="1" x14ac:dyDescent="0.25">
      <c r="B36" s="104" t="s">
        <v>1</v>
      </c>
      <c r="C36" s="2" t="s">
        <v>228</v>
      </c>
      <c r="D36" s="2" t="s">
        <v>244</v>
      </c>
      <c r="E36" s="2" t="s">
        <v>245</v>
      </c>
      <c r="F36" s="2" t="s">
        <v>223</v>
      </c>
    </row>
    <row r="37" spans="2:9" ht="15.95" customHeight="1" x14ac:dyDescent="0.2">
      <c r="B37" s="14" t="s">
        <v>27</v>
      </c>
      <c r="C37" s="113">
        <v>1228073</v>
      </c>
      <c r="D37" s="113">
        <v>1228073</v>
      </c>
      <c r="E37" s="211">
        <v>997014</v>
      </c>
      <c r="F37" s="214">
        <f t="shared" ref="F37:F65" si="12">E37/D37*100</f>
        <v>81.185238988236037</v>
      </c>
      <c r="G37" s="95"/>
      <c r="H37" s="95"/>
      <c r="I37" s="95"/>
    </row>
    <row r="38" spans="2:9" ht="15.95" customHeight="1" x14ac:dyDescent="0.2">
      <c r="B38" s="14" t="s">
        <v>28</v>
      </c>
      <c r="C38" s="114">
        <v>114541</v>
      </c>
      <c r="D38" s="114">
        <v>114541</v>
      </c>
      <c r="E38" s="212">
        <v>150343</v>
      </c>
      <c r="F38" s="215">
        <f t="shared" si="12"/>
        <v>131.25692983298555</v>
      </c>
      <c r="G38" s="95"/>
      <c r="H38" s="95"/>
      <c r="I38" s="95"/>
    </row>
    <row r="39" spans="2:9" ht="15.95" customHeight="1" x14ac:dyDescent="0.2">
      <c r="B39" s="4" t="s">
        <v>29</v>
      </c>
      <c r="C39" s="114">
        <v>4458</v>
      </c>
      <c r="D39" s="114">
        <v>4458</v>
      </c>
      <c r="E39" s="212">
        <v>4449</v>
      </c>
      <c r="F39" s="215">
        <f t="shared" si="12"/>
        <v>99.798115746971732</v>
      </c>
      <c r="G39" s="95"/>
      <c r="H39" s="95"/>
      <c r="I39" s="95"/>
    </row>
    <row r="40" spans="2:9" ht="15.95" customHeight="1" x14ac:dyDescent="0.2">
      <c r="B40" s="4" t="s">
        <v>30</v>
      </c>
      <c r="C40" s="114">
        <v>149071</v>
      </c>
      <c r="D40" s="114">
        <v>149071</v>
      </c>
      <c r="E40" s="212">
        <v>67692</v>
      </c>
      <c r="F40" s="215">
        <f t="shared" si="12"/>
        <v>45.409234525829973</v>
      </c>
      <c r="G40" s="95"/>
      <c r="H40" s="95"/>
      <c r="I40" s="95"/>
    </row>
    <row r="41" spans="2:9" ht="15.95" customHeight="1" x14ac:dyDescent="0.2">
      <c r="B41" s="4" t="s">
        <v>31</v>
      </c>
      <c r="C41" s="114">
        <v>23711</v>
      </c>
      <c r="D41" s="114">
        <v>23711</v>
      </c>
      <c r="E41" s="212">
        <v>23742</v>
      </c>
      <c r="F41" s="215">
        <f t="shared" si="12"/>
        <v>100.13074100628401</v>
      </c>
      <c r="G41" s="95"/>
      <c r="H41" s="95"/>
      <c r="I41" s="95"/>
    </row>
    <row r="42" spans="2:9" ht="15.95" customHeight="1" x14ac:dyDescent="0.2">
      <c r="B42" s="4" t="s">
        <v>32</v>
      </c>
      <c r="C42" s="114">
        <v>48873</v>
      </c>
      <c r="D42" s="114">
        <v>48873</v>
      </c>
      <c r="E42" s="212">
        <v>17898</v>
      </c>
      <c r="F42" s="215">
        <f t="shared" si="12"/>
        <v>36.621447424958561</v>
      </c>
      <c r="G42" s="95"/>
      <c r="H42" s="95"/>
      <c r="I42" s="95"/>
    </row>
    <row r="43" spans="2:9" ht="15.95" customHeight="1" x14ac:dyDescent="0.2">
      <c r="B43" s="4" t="s">
        <v>222</v>
      </c>
      <c r="C43" s="114">
        <v>34053</v>
      </c>
      <c r="D43" s="114">
        <v>34053</v>
      </c>
      <c r="E43" s="212">
        <v>34084</v>
      </c>
      <c r="F43" s="215">
        <f t="shared" si="12"/>
        <v>100.09103456376825</v>
      </c>
      <c r="G43" s="95"/>
      <c r="H43" s="95"/>
      <c r="I43" s="95"/>
    </row>
    <row r="44" spans="2:9" ht="15.95" customHeight="1" x14ac:dyDescent="0.2">
      <c r="B44" s="4" t="s">
        <v>33</v>
      </c>
      <c r="C44" s="114">
        <v>7254</v>
      </c>
      <c r="D44" s="114">
        <v>7254</v>
      </c>
      <c r="E44" s="212">
        <v>7093</v>
      </c>
      <c r="F44" s="215">
        <f t="shared" si="12"/>
        <v>97.780534877309066</v>
      </c>
      <c r="G44" s="95"/>
      <c r="H44" s="95"/>
      <c r="I44" s="95"/>
    </row>
    <row r="45" spans="2:9" ht="15.95" customHeight="1" x14ac:dyDescent="0.2">
      <c r="B45" s="4" t="s">
        <v>34</v>
      </c>
      <c r="C45" s="108">
        <v>0</v>
      </c>
      <c r="D45" s="108">
        <v>40000</v>
      </c>
      <c r="E45" s="205">
        <v>40000</v>
      </c>
      <c r="F45" s="206">
        <f t="shared" si="12"/>
        <v>100</v>
      </c>
      <c r="G45" s="95"/>
      <c r="H45" s="95"/>
      <c r="I45" s="95"/>
    </row>
    <row r="46" spans="2:9" ht="15.95" customHeight="1" x14ac:dyDescent="0.2">
      <c r="B46" s="15" t="s">
        <v>35</v>
      </c>
      <c r="C46" s="108">
        <v>0</v>
      </c>
      <c r="D46" s="108">
        <v>78371</v>
      </c>
      <c r="E46" s="205">
        <v>306427</v>
      </c>
      <c r="F46" s="206">
        <f t="shared" si="12"/>
        <v>390.99539370430392</v>
      </c>
      <c r="G46" s="95"/>
      <c r="H46" s="95"/>
      <c r="I46" s="95"/>
    </row>
    <row r="47" spans="2:9" s="16" customFormat="1" ht="17.100000000000001" customHeight="1" x14ac:dyDescent="0.2">
      <c r="B47" s="3" t="s">
        <v>230</v>
      </c>
      <c r="C47" s="107">
        <f t="shared" ref="C47:D47" si="13">C48+C50</f>
        <v>3055781</v>
      </c>
      <c r="D47" s="107">
        <f t="shared" si="13"/>
        <v>3057301</v>
      </c>
      <c r="E47" s="203">
        <f t="shared" ref="E47" si="14">E48+E50</f>
        <v>1094770</v>
      </c>
      <c r="F47" s="204">
        <f t="shared" si="12"/>
        <v>35.808381314106789</v>
      </c>
      <c r="G47" s="97"/>
      <c r="H47" s="97"/>
      <c r="I47" s="97"/>
    </row>
    <row r="48" spans="2:9" ht="17.100000000000001" customHeight="1" x14ac:dyDescent="0.2">
      <c r="B48" s="4" t="s">
        <v>36</v>
      </c>
      <c r="C48" s="108">
        <v>2388433</v>
      </c>
      <c r="D48" s="108">
        <v>2389953</v>
      </c>
      <c r="E48" s="205">
        <v>849533</v>
      </c>
      <c r="F48" s="206">
        <f t="shared" si="12"/>
        <v>35.546012829540999</v>
      </c>
      <c r="G48" s="95"/>
      <c r="H48" s="95"/>
      <c r="I48" s="95"/>
    </row>
    <row r="49" spans="2:10" ht="17.100000000000001" customHeight="1" x14ac:dyDescent="0.2">
      <c r="B49" s="4" t="s">
        <v>37</v>
      </c>
      <c r="C49" s="114">
        <v>638753</v>
      </c>
      <c r="D49" s="114">
        <v>638753</v>
      </c>
      <c r="E49" s="205">
        <v>241374</v>
      </c>
      <c r="F49" s="215">
        <f t="shared" si="12"/>
        <v>37.788315671315829</v>
      </c>
      <c r="G49" s="95"/>
      <c r="H49" s="95"/>
      <c r="I49" s="95"/>
    </row>
    <row r="50" spans="2:10" ht="17.100000000000001" customHeight="1" x14ac:dyDescent="0.2">
      <c r="B50" s="4" t="s">
        <v>38</v>
      </c>
      <c r="C50" s="108">
        <v>667348</v>
      </c>
      <c r="D50" s="108">
        <v>667348</v>
      </c>
      <c r="E50" s="205">
        <v>245237</v>
      </c>
      <c r="F50" s="206">
        <f t="shared" si="12"/>
        <v>36.747993550591296</v>
      </c>
      <c r="G50" s="95"/>
      <c r="H50" s="95"/>
      <c r="I50" s="95"/>
    </row>
    <row r="51" spans="2:10" ht="17.100000000000001" customHeight="1" x14ac:dyDescent="0.2">
      <c r="B51" s="4"/>
      <c r="C51" s="108"/>
      <c r="D51" s="108"/>
      <c r="E51" s="205"/>
      <c r="F51" s="206"/>
      <c r="G51" s="95"/>
      <c r="H51" s="95"/>
      <c r="I51" s="95"/>
    </row>
    <row r="52" spans="2:10" ht="21" customHeight="1" x14ac:dyDescent="0.2">
      <c r="B52" s="115" t="s">
        <v>39</v>
      </c>
      <c r="C52" s="116">
        <f t="shared" ref="C52:D52" si="15">SUM(C54:C57)</f>
        <v>910446</v>
      </c>
      <c r="D52" s="116">
        <f t="shared" si="15"/>
        <v>910446</v>
      </c>
      <c r="E52" s="116">
        <f t="shared" ref="E52" si="16">SUM(E54:E57)</f>
        <v>242535</v>
      </c>
      <c r="F52" s="201">
        <f t="shared" si="12"/>
        <v>26.639141695388851</v>
      </c>
      <c r="G52" s="95"/>
      <c r="H52" s="95"/>
      <c r="I52" s="95"/>
    </row>
    <row r="53" spans="2:10" ht="15.95" customHeight="1" x14ac:dyDescent="0.2">
      <c r="B53" s="5" t="s">
        <v>40</v>
      </c>
      <c r="C53" s="108"/>
      <c r="D53" s="108"/>
      <c r="E53" s="205"/>
      <c r="F53" s="206"/>
      <c r="G53" s="95"/>
      <c r="H53" s="95"/>
      <c r="I53" s="95"/>
    </row>
    <row r="54" spans="2:10" ht="15.95" customHeight="1" x14ac:dyDescent="0.2">
      <c r="B54" s="5" t="s">
        <v>41</v>
      </c>
      <c r="C54" s="108">
        <v>39200</v>
      </c>
      <c r="D54" s="108">
        <v>39200</v>
      </c>
      <c r="E54" s="205">
        <v>985</v>
      </c>
      <c r="F54" s="206">
        <f t="shared" si="12"/>
        <v>2.5127551020408161</v>
      </c>
      <c r="G54" s="95"/>
      <c r="H54" s="95"/>
      <c r="I54" s="95"/>
    </row>
    <row r="55" spans="2:10" ht="15.95" customHeight="1" x14ac:dyDescent="0.2">
      <c r="B55" s="5" t="s">
        <v>42</v>
      </c>
      <c r="C55" s="108">
        <v>44000</v>
      </c>
      <c r="D55" s="108">
        <v>44000</v>
      </c>
      <c r="E55" s="205">
        <v>3226</v>
      </c>
      <c r="F55" s="206">
        <f t="shared" si="12"/>
        <v>7.331818181818182</v>
      </c>
      <c r="G55" s="95"/>
      <c r="H55" s="95"/>
      <c r="I55" s="95"/>
    </row>
    <row r="56" spans="2:10" ht="15.95" customHeight="1" x14ac:dyDescent="0.2">
      <c r="B56" s="5" t="s">
        <v>43</v>
      </c>
      <c r="C56" s="108">
        <v>50000</v>
      </c>
      <c r="D56" s="108">
        <v>50000</v>
      </c>
      <c r="E56" s="205">
        <v>27060</v>
      </c>
      <c r="F56" s="206">
        <f t="shared" si="12"/>
        <v>54.120000000000005</v>
      </c>
      <c r="G56" s="95"/>
      <c r="H56" s="95"/>
      <c r="I56" s="95"/>
    </row>
    <row r="57" spans="2:10" ht="15.95" customHeight="1" x14ac:dyDescent="0.2">
      <c r="B57" s="5" t="s">
        <v>44</v>
      </c>
      <c r="C57" s="108">
        <v>777246</v>
      </c>
      <c r="D57" s="108">
        <v>777246</v>
      </c>
      <c r="E57" s="205">
        <v>211264</v>
      </c>
      <c r="F57" s="206">
        <f t="shared" si="12"/>
        <v>27.181098390985607</v>
      </c>
      <c r="G57" s="95"/>
      <c r="H57" s="95"/>
      <c r="I57" s="95"/>
    </row>
    <row r="58" spans="2:10" ht="15.95" customHeight="1" x14ac:dyDescent="0.2">
      <c r="B58" s="5"/>
      <c r="C58" s="108"/>
      <c r="D58" s="108"/>
      <c r="E58" s="205"/>
      <c r="F58" s="206"/>
      <c r="G58" s="95"/>
      <c r="H58" s="95"/>
      <c r="I58" s="95"/>
    </row>
    <row r="59" spans="2:10" ht="21" customHeight="1" x14ac:dyDescent="0.2">
      <c r="B59" s="115" t="s">
        <v>45</v>
      </c>
      <c r="C59" s="116">
        <f>SUM(C61:C63)</f>
        <v>1709093</v>
      </c>
      <c r="D59" s="116">
        <f>SUM(D61:D63)</f>
        <v>2319093</v>
      </c>
      <c r="E59" s="116">
        <f>SUM(E61:E64)</f>
        <v>1194093</v>
      </c>
      <c r="F59" s="201">
        <f t="shared" si="12"/>
        <v>51.489655654171699</v>
      </c>
      <c r="G59" s="95"/>
      <c r="H59" s="95"/>
      <c r="I59" s="95"/>
    </row>
    <row r="60" spans="2:10" ht="15.95" customHeight="1" x14ac:dyDescent="0.2">
      <c r="B60" s="5" t="s">
        <v>46</v>
      </c>
      <c r="C60" s="108"/>
      <c r="D60" s="108"/>
      <c r="E60" s="205"/>
      <c r="F60" s="206"/>
      <c r="G60" s="95"/>
      <c r="H60" s="95"/>
      <c r="I60" s="95"/>
    </row>
    <row r="61" spans="2:10" ht="15.95" customHeight="1" x14ac:dyDescent="0.2">
      <c r="B61" s="5" t="s">
        <v>47</v>
      </c>
      <c r="C61" s="108">
        <v>1709093</v>
      </c>
      <c r="D61" s="108">
        <v>2309093</v>
      </c>
      <c r="E61" s="205">
        <v>507369</v>
      </c>
      <c r="F61" s="206">
        <f t="shared" ref="F61:F62" si="17">E61/D61*100</f>
        <v>21.972653331849344</v>
      </c>
      <c r="G61" s="95"/>
      <c r="H61" s="95"/>
      <c r="I61" s="95"/>
    </row>
    <row r="62" spans="2:10" ht="15.95" customHeight="1" x14ac:dyDescent="0.2">
      <c r="B62" s="17" t="s">
        <v>48</v>
      </c>
      <c r="C62" s="108">
        <v>0</v>
      </c>
      <c r="D62" s="108">
        <v>10000</v>
      </c>
      <c r="E62" s="205">
        <v>682536</v>
      </c>
      <c r="F62" s="206">
        <f t="shared" si="17"/>
        <v>6825.3600000000006</v>
      </c>
      <c r="G62" s="95"/>
      <c r="H62" s="95"/>
      <c r="I62" s="95"/>
    </row>
    <row r="63" spans="2:10" ht="15.95" customHeight="1" x14ac:dyDescent="0.2">
      <c r="B63" s="18" t="s">
        <v>226</v>
      </c>
      <c r="C63" s="117">
        <v>0</v>
      </c>
      <c r="D63" s="117">
        <v>0</v>
      </c>
      <c r="E63" s="213">
        <v>4188</v>
      </c>
      <c r="F63" s="216"/>
      <c r="G63" s="95"/>
      <c r="H63" s="95"/>
      <c r="I63" s="95"/>
      <c r="J63" s="95"/>
    </row>
    <row r="64" spans="2:10" ht="15.95" customHeight="1" x14ac:dyDescent="0.2">
      <c r="B64" s="18"/>
      <c r="C64" s="117"/>
      <c r="D64" s="117"/>
      <c r="E64" s="213"/>
      <c r="F64" s="216"/>
      <c r="G64" s="95"/>
    </row>
    <row r="65" spans="2:6" ht="23.1" customHeight="1" thickBot="1" x14ac:dyDescent="0.25">
      <c r="B65" s="118" t="s">
        <v>49</v>
      </c>
      <c r="C65" s="119">
        <f>SUM(C5+C52+C59)</f>
        <v>43965819</v>
      </c>
      <c r="D65" s="119">
        <f>SUM(D5+D52+D59)</f>
        <v>45515833</v>
      </c>
      <c r="E65" s="119">
        <f>SUM(E5+E52+E59)</f>
        <v>23261351</v>
      </c>
      <c r="F65" s="202">
        <f t="shared" si="12"/>
        <v>51.106064564390152</v>
      </c>
    </row>
    <row r="66" spans="2:6" ht="28.9" customHeight="1" x14ac:dyDescent="0.2"/>
  </sheetData>
  <sheetProtection sheet="1" objects="1" scenarios="1"/>
  <mergeCells count="5">
    <mergeCell ref="B3:C3"/>
    <mergeCell ref="B1:E1"/>
    <mergeCell ref="B2:E2"/>
    <mergeCell ref="B33:E33"/>
    <mergeCell ref="B34:E34"/>
  </mergeCells>
  <pageMargins left="0.59055118110236227" right="0.59055118110236227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70" zoomScaleNormal="70" workbookViewId="0">
      <selection sqref="A1:L1"/>
    </sheetView>
  </sheetViews>
  <sheetFormatPr defaultColWidth="10.28515625" defaultRowHeight="14.25" x14ac:dyDescent="0.2"/>
  <cols>
    <col min="1" max="3" width="3.7109375" style="13" customWidth="1"/>
    <col min="4" max="4" width="50.140625" style="13" customWidth="1"/>
    <col min="5" max="10" width="15.7109375" style="13" customWidth="1"/>
    <col min="11" max="12" width="12.7109375" style="13" customWidth="1"/>
    <col min="13" max="16384" width="10.28515625" style="13"/>
  </cols>
  <sheetData>
    <row r="1" spans="1:12" ht="27.75" customHeight="1" x14ac:dyDescent="0.35">
      <c r="A1" s="446" t="s">
        <v>250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</row>
    <row r="2" spans="1:12" ht="21.6" customHeight="1" x14ac:dyDescent="0.35">
      <c r="A2" s="99"/>
      <c r="B2" s="99"/>
      <c r="C2" s="99"/>
      <c r="D2" s="99"/>
      <c r="E2" s="99"/>
      <c r="F2" s="99"/>
      <c r="G2" s="99"/>
      <c r="H2" s="121"/>
      <c r="I2" s="99"/>
      <c r="J2" s="121"/>
      <c r="K2" s="99"/>
      <c r="L2" s="121"/>
    </row>
    <row r="3" spans="1:12" ht="24.75" customHeight="1" x14ac:dyDescent="0.3">
      <c r="A3" s="20"/>
      <c r="B3" s="20"/>
      <c r="C3" s="20"/>
      <c r="D3" s="20"/>
      <c r="E3" s="20"/>
      <c r="F3" s="20"/>
      <c r="G3" s="20"/>
      <c r="H3" s="122"/>
      <c r="I3" s="20"/>
      <c r="J3" s="122"/>
      <c r="K3" s="20"/>
      <c r="L3" s="122"/>
    </row>
    <row r="4" spans="1:12" ht="29.25" customHeight="1" thickBot="1" x14ac:dyDescent="0.25">
      <c r="A4" s="21"/>
      <c r="B4" s="21"/>
      <c r="C4" s="21"/>
      <c r="D4" s="442"/>
      <c r="E4" s="442"/>
      <c r="F4" s="442"/>
      <c r="G4" s="123"/>
      <c r="I4" s="123"/>
      <c r="J4" s="22"/>
      <c r="K4" s="123"/>
      <c r="L4" s="22" t="s">
        <v>50</v>
      </c>
    </row>
    <row r="5" spans="1:12" ht="33" customHeight="1" thickBot="1" x14ac:dyDescent="0.25">
      <c r="A5" s="449" t="s">
        <v>51</v>
      </c>
      <c r="B5" s="450"/>
      <c r="C5" s="451"/>
      <c r="D5" s="455" t="s">
        <v>52</v>
      </c>
      <c r="E5" s="447" t="s">
        <v>231</v>
      </c>
      <c r="F5" s="448"/>
      <c r="G5" s="447" t="s">
        <v>249</v>
      </c>
      <c r="H5" s="448"/>
      <c r="I5" s="447" t="s">
        <v>245</v>
      </c>
      <c r="J5" s="448"/>
      <c r="K5" s="447" t="s">
        <v>223</v>
      </c>
      <c r="L5" s="448"/>
    </row>
    <row r="6" spans="1:12" ht="33" customHeight="1" thickBot="1" x14ac:dyDescent="0.25">
      <c r="A6" s="452"/>
      <c r="B6" s="453"/>
      <c r="C6" s="454"/>
      <c r="D6" s="456"/>
      <c r="E6" s="124" t="s">
        <v>53</v>
      </c>
      <c r="F6" s="125" t="s">
        <v>54</v>
      </c>
      <c r="G6" s="124" t="s">
        <v>53</v>
      </c>
      <c r="H6" s="125" t="s">
        <v>54</v>
      </c>
      <c r="I6" s="124" t="s">
        <v>53</v>
      </c>
      <c r="J6" s="125" t="s">
        <v>54</v>
      </c>
      <c r="K6" s="124" t="s">
        <v>53</v>
      </c>
      <c r="L6" s="125" t="s">
        <v>54</v>
      </c>
    </row>
    <row r="7" spans="1:12" ht="18" customHeight="1" x14ac:dyDescent="0.25">
      <c r="A7" s="23" t="s">
        <v>55</v>
      </c>
      <c r="B7" s="24"/>
      <c r="C7" s="25"/>
      <c r="D7" s="126" t="s">
        <v>56</v>
      </c>
      <c r="E7" s="26"/>
      <c r="F7" s="27"/>
      <c r="G7" s="26"/>
      <c r="H7" s="27"/>
      <c r="I7" s="26"/>
      <c r="J7" s="27"/>
      <c r="K7" s="26"/>
      <c r="L7" s="27"/>
    </row>
    <row r="8" spans="1:12" s="31" customFormat="1" ht="18" customHeight="1" x14ac:dyDescent="0.25">
      <c r="A8" s="28"/>
      <c r="B8" s="29">
        <v>1</v>
      </c>
      <c r="C8" s="30"/>
      <c r="D8" s="127" t="s">
        <v>57</v>
      </c>
      <c r="E8" s="94">
        <v>392030</v>
      </c>
      <c r="F8" s="128">
        <v>0</v>
      </c>
      <c r="G8" s="94">
        <v>385537</v>
      </c>
      <c r="H8" s="128">
        <v>0</v>
      </c>
      <c r="I8" s="217">
        <v>83171</v>
      </c>
      <c r="J8" s="218">
        <v>0</v>
      </c>
      <c r="K8" s="219">
        <f>I8/G8*100</f>
        <v>21.572767334912083</v>
      </c>
      <c r="L8" s="220"/>
    </row>
    <row r="9" spans="1:12" s="31" customFormat="1" ht="18" customHeight="1" x14ac:dyDescent="0.25">
      <c r="A9" s="28"/>
      <c r="B9" s="29">
        <v>2</v>
      </c>
      <c r="C9" s="30"/>
      <c r="D9" s="127" t="s">
        <v>58</v>
      </c>
      <c r="E9" s="94"/>
      <c r="F9" s="128"/>
      <c r="G9" s="94"/>
      <c r="H9" s="128"/>
      <c r="I9" s="217"/>
      <c r="J9" s="218"/>
      <c r="K9" s="219"/>
      <c r="L9" s="220"/>
    </row>
    <row r="10" spans="1:12" s="31" customFormat="1" ht="18" customHeight="1" x14ac:dyDescent="0.25">
      <c r="A10" s="28"/>
      <c r="B10" s="29"/>
      <c r="C10" s="30" t="s">
        <v>55</v>
      </c>
      <c r="D10" s="127" t="s">
        <v>59</v>
      </c>
      <c r="E10" s="94">
        <v>87614</v>
      </c>
      <c r="F10" s="128">
        <v>0</v>
      </c>
      <c r="G10" s="94">
        <v>87614</v>
      </c>
      <c r="H10" s="128">
        <v>0</v>
      </c>
      <c r="I10" s="217">
        <v>30437</v>
      </c>
      <c r="J10" s="218">
        <v>0</v>
      </c>
      <c r="K10" s="219">
        <f t="shared" ref="K10:K34" si="0">I10/G10*100</f>
        <v>34.739881754057571</v>
      </c>
      <c r="L10" s="220"/>
    </row>
    <row r="11" spans="1:12" s="31" customFormat="1" ht="18" customHeight="1" x14ac:dyDescent="0.25">
      <c r="A11" s="28"/>
      <c r="B11" s="29"/>
      <c r="C11" s="30" t="s">
        <v>60</v>
      </c>
      <c r="D11" s="127" t="s">
        <v>61</v>
      </c>
      <c r="E11" s="94">
        <v>90440</v>
      </c>
      <c r="F11" s="128">
        <v>0</v>
      </c>
      <c r="G11" s="94">
        <v>90440</v>
      </c>
      <c r="H11" s="128">
        <v>0</v>
      </c>
      <c r="I11" s="217">
        <v>27693</v>
      </c>
      <c r="J11" s="218">
        <v>0</v>
      </c>
      <c r="K11" s="219">
        <f t="shared" si="0"/>
        <v>30.620300751879697</v>
      </c>
      <c r="L11" s="220"/>
    </row>
    <row r="12" spans="1:12" s="31" customFormat="1" ht="18" customHeight="1" x14ac:dyDescent="0.25">
      <c r="A12" s="28"/>
      <c r="B12" s="29"/>
      <c r="C12" s="30" t="s">
        <v>62</v>
      </c>
      <c r="D12" s="127" t="s">
        <v>63</v>
      </c>
      <c r="E12" s="94">
        <v>4930</v>
      </c>
      <c r="F12" s="128">
        <v>0</v>
      </c>
      <c r="G12" s="94">
        <v>4930</v>
      </c>
      <c r="H12" s="128">
        <v>0</v>
      </c>
      <c r="I12" s="217">
        <v>856</v>
      </c>
      <c r="J12" s="218">
        <v>0</v>
      </c>
      <c r="K12" s="219">
        <f t="shared" si="0"/>
        <v>17.363083164300203</v>
      </c>
      <c r="L12" s="220"/>
    </row>
    <row r="13" spans="1:12" s="32" customFormat="1" ht="18" customHeight="1" x14ac:dyDescent="0.25">
      <c r="A13" s="28"/>
      <c r="B13" s="29">
        <v>3</v>
      </c>
      <c r="C13" s="30"/>
      <c r="D13" s="127" t="s">
        <v>64</v>
      </c>
      <c r="E13" s="94">
        <v>62353</v>
      </c>
      <c r="F13" s="128">
        <v>0</v>
      </c>
      <c r="G13" s="94">
        <v>62353</v>
      </c>
      <c r="H13" s="128">
        <v>0</v>
      </c>
      <c r="I13" s="217">
        <v>22884</v>
      </c>
      <c r="J13" s="218">
        <v>0</v>
      </c>
      <c r="K13" s="219">
        <f t="shared" si="0"/>
        <v>36.700720093660287</v>
      </c>
      <c r="L13" s="220"/>
    </row>
    <row r="14" spans="1:12" s="31" customFormat="1" ht="18" customHeight="1" x14ac:dyDescent="0.25">
      <c r="A14" s="28"/>
      <c r="B14" s="29">
        <v>4</v>
      </c>
      <c r="C14" s="30"/>
      <c r="D14" s="127" t="s">
        <v>65</v>
      </c>
      <c r="E14" s="94">
        <v>37999</v>
      </c>
      <c r="F14" s="128">
        <v>39150</v>
      </c>
      <c r="G14" s="94">
        <v>37865</v>
      </c>
      <c r="H14" s="128">
        <v>39150</v>
      </c>
      <c r="I14" s="217">
        <v>4111</v>
      </c>
      <c r="J14" s="218">
        <v>0</v>
      </c>
      <c r="K14" s="219">
        <f t="shared" si="0"/>
        <v>10.856991945068005</v>
      </c>
      <c r="L14" s="220">
        <f t="shared" ref="L14:L34" si="1">J14/H14*100</f>
        <v>0</v>
      </c>
    </row>
    <row r="15" spans="1:12" ht="18" customHeight="1" x14ac:dyDescent="0.25">
      <c r="A15" s="28"/>
      <c r="B15" s="29">
        <v>5</v>
      </c>
      <c r="C15" s="30"/>
      <c r="D15" s="127" t="s">
        <v>66</v>
      </c>
      <c r="E15" s="94">
        <v>200000</v>
      </c>
      <c r="F15" s="128">
        <v>0</v>
      </c>
      <c r="G15" s="94">
        <v>180000</v>
      </c>
      <c r="H15" s="128">
        <v>0</v>
      </c>
      <c r="I15" s="217">
        <v>100503</v>
      </c>
      <c r="J15" s="218">
        <v>0</v>
      </c>
      <c r="K15" s="219">
        <f t="shared" si="0"/>
        <v>55.835000000000001</v>
      </c>
      <c r="L15" s="220"/>
    </row>
    <row r="16" spans="1:12" ht="18" customHeight="1" x14ac:dyDescent="0.25">
      <c r="A16" s="33" t="s">
        <v>55</v>
      </c>
      <c r="B16" s="34"/>
      <c r="C16" s="35"/>
      <c r="D16" s="36" t="s">
        <v>67</v>
      </c>
      <c r="E16" s="37">
        <f t="shared" ref="E16:F16" si="2">SUM(E7:E15)</f>
        <v>875366</v>
      </c>
      <c r="F16" s="38">
        <f t="shared" si="2"/>
        <v>39150</v>
      </c>
      <c r="G16" s="37">
        <f t="shared" ref="G16:H16" si="3">SUM(G7:G15)</f>
        <v>848739</v>
      </c>
      <c r="H16" s="38">
        <f t="shared" si="3"/>
        <v>39150</v>
      </c>
      <c r="I16" s="37">
        <f t="shared" ref="I16:J16" si="4">SUM(I7:I15)</f>
        <v>269655</v>
      </c>
      <c r="J16" s="38">
        <f t="shared" si="4"/>
        <v>0</v>
      </c>
      <c r="K16" s="85">
        <f t="shared" si="0"/>
        <v>31.771251232711116</v>
      </c>
      <c r="L16" s="86">
        <f t="shared" si="1"/>
        <v>0</v>
      </c>
    </row>
    <row r="17" spans="1:12" ht="18" customHeight="1" x14ac:dyDescent="0.25">
      <c r="A17" s="39" t="s">
        <v>60</v>
      </c>
      <c r="B17" s="40"/>
      <c r="C17" s="41"/>
      <c r="D17" s="130" t="s">
        <v>68</v>
      </c>
      <c r="E17" s="42"/>
      <c r="F17" s="43"/>
      <c r="G17" s="42"/>
      <c r="H17" s="43"/>
      <c r="I17" s="42"/>
      <c r="J17" s="43"/>
      <c r="K17" s="87"/>
      <c r="L17" s="88"/>
    </row>
    <row r="18" spans="1:12" ht="18" customHeight="1" x14ac:dyDescent="0.25">
      <c r="A18" s="28"/>
      <c r="B18" s="29">
        <v>1</v>
      </c>
      <c r="C18" s="30"/>
      <c r="D18" s="127" t="s">
        <v>69</v>
      </c>
      <c r="E18" s="94">
        <v>185000</v>
      </c>
      <c r="F18" s="128">
        <v>53000</v>
      </c>
      <c r="G18" s="94">
        <v>205000</v>
      </c>
      <c r="H18" s="128">
        <v>88000</v>
      </c>
      <c r="I18" s="217">
        <v>51502</v>
      </c>
      <c r="J18" s="218">
        <v>0</v>
      </c>
      <c r="K18" s="219">
        <f t="shared" si="0"/>
        <v>25.122926829268295</v>
      </c>
      <c r="L18" s="220">
        <f t="shared" si="1"/>
        <v>0</v>
      </c>
    </row>
    <row r="19" spans="1:12" s="44" customFormat="1" ht="18" customHeight="1" x14ac:dyDescent="0.25">
      <c r="A19" s="28"/>
      <c r="B19" s="29">
        <v>2</v>
      </c>
      <c r="C19" s="30"/>
      <c r="D19" s="127" t="s">
        <v>70</v>
      </c>
      <c r="E19" s="94">
        <v>6155957</v>
      </c>
      <c r="F19" s="128">
        <v>0</v>
      </c>
      <c r="G19" s="94">
        <v>7332422</v>
      </c>
      <c r="H19" s="128">
        <v>0</v>
      </c>
      <c r="I19" s="217">
        <v>2745771</v>
      </c>
      <c r="J19" s="218">
        <v>0</v>
      </c>
      <c r="K19" s="219">
        <f t="shared" si="0"/>
        <v>37.446985457192724</v>
      </c>
      <c r="L19" s="220"/>
    </row>
    <row r="20" spans="1:12" ht="18" customHeight="1" x14ac:dyDescent="0.25">
      <c r="A20" s="33" t="s">
        <v>60</v>
      </c>
      <c r="B20" s="34"/>
      <c r="C20" s="35"/>
      <c r="D20" s="36" t="s">
        <v>71</v>
      </c>
      <c r="E20" s="37">
        <f t="shared" ref="E20:F20" si="5">SUM(E18:E19)</f>
        <v>6340957</v>
      </c>
      <c r="F20" s="38">
        <f t="shared" si="5"/>
        <v>53000</v>
      </c>
      <c r="G20" s="37">
        <f t="shared" ref="G20:H20" si="6">SUM(G18:G19)</f>
        <v>7537422</v>
      </c>
      <c r="H20" s="38">
        <f t="shared" si="6"/>
        <v>88000</v>
      </c>
      <c r="I20" s="37">
        <f t="shared" ref="I20:J20" si="7">SUM(I18:I19)</f>
        <v>2797273</v>
      </c>
      <c r="J20" s="38">
        <f t="shared" si="7"/>
        <v>0</v>
      </c>
      <c r="K20" s="85">
        <f t="shared" si="0"/>
        <v>37.111800294583482</v>
      </c>
      <c r="L20" s="86">
        <f t="shared" si="1"/>
        <v>0</v>
      </c>
    </row>
    <row r="21" spans="1:12" ht="18" customHeight="1" x14ac:dyDescent="0.25">
      <c r="A21" s="39" t="s">
        <v>62</v>
      </c>
      <c r="B21" s="40"/>
      <c r="C21" s="41"/>
      <c r="D21" s="130" t="s">
        <v>72</v>
      </c>
      <c r="E21" s="42"/>
      <c r="F21" s="43"/>
      <c r="G21" s="42"/>
      <c r="H21" s="43"/>
      <c r="I21" s="42"/>
      <c r="J21" s="43"/>
      <c r="K21" s="87"/>
      <c r="L21" s="88"/>
    </row>
    <row r="22" spans="1:12" ht="18" customHeight="1" x14ac:dyDescent="0.25">
      <c r="A22" s="28"/>
      <c r="B22" s="29">
        <v>1</v>
      </c>
      <c r="C22" s="30"/>
      <c r="D22" s="127" t="s">
        <v>73</v>
      </c>
      <c r="E22" s="94">
        <v>18313</v>
      </c>
      <c r="F22" s="128">
        <v>0</v>
      </c>
      <c r="G22" s="94">
        <v>18313</v>
      </c>
      <c r="H22" s="128">
        <v>0</v>
      </c>
      <c r="I22" s="217">
        <v>8273</v>
      </c>
      <c r="J22" s="218">
        <v>0</v>
      </c>
      <c r="K22" s="219">
        <f t="shared" si="0"/>
        <v>45.17555834652979</v>
      </c>
      <c r="L22" s="220"/>
    </row>
    <row r="23" spans="1:12" ht="18" customHeight="1" x14ac:dyDescent="0.25">
      <c r="A23" s="28"/>
      <c r="B23" s="29">
        <v>2</v>
      </c>
      <c r="C23" s="30"/>
      <c r="D23" s="127" t="s">
        <v>74</v>
      </c>
      <c r="E23" s="94">
        <v>6476</v>
      </c>
      <c r="F23" s="128">
        <v>0</v>
      </c>
      <c r="G23" s="94">
        <v>6476</v>
      </c>
      <c r="H23" s="128">
        <v>0</v>
      </c>
      <c r="I23" s="217">
        <v>1695</v>
      </c>
      <c r="J23" s="218">
        <v>0</v>
      </c>
      <c r="K23" s="219">
        <f t="shared" si="0"/>
        <v>26.173563928350834</v>
      </c>
      <c r="L23" s="220"/>
    </row>
    <row r="24" spans="1:12" ht="18" customHeight="1" x14ac:dyDescent="0.25">
      <c r="A24" s="28"/>
      <c r="B24" s="29">
        <v>3</v>
      </c>
      <c r="C24" s="30"/>
      <c r="D24" s="127" t="s">
        <v>75</v>
      </c>
      <c r="E24" s="94">
        <v>17000</v>
      </c>
      <c r="F24" s="128">
        <v>0</v>
      </c>
      <c r="G24" s="94">
        <v>17000</v>
      </c>
      <c r="H24" s="128">
        <v>0</v>
      </c>
      <c r="I24" s="217">
        <v>3090</v>
      </c>
      <c r="J24" s="218">
        <v>0</v>
      </c>
      <c r="K24" s="219">
        <f t="shared" si="0"/>
        <v>18.176470588235293</v>
      </c>
      <c r="L24" s="220"/>
    </row>
    <row r="25" spans="1:12" ht="18" customHeight="1" x14ac:dyDescent="0.25">
      <c r="A25" s="28"/>
      <c r="B25" s="29">
        <v>4</v>
      </c>
      <c r="C25" s="30"/>
      <c r="D25" s="127" t="s">
        <v>76</v>
      </c>
      <c r="E25" s="94">
        <v>143000</v>
      </c>
      <c r="F25" s="128">
        <v>0</v>
      </c>
      <c r="G25" s="94">
        <v>132000</v>
      </c>
      <c r="H25" s="128">
        <v>0</v>
      </c>
      <c r="I25" s="217">
        <v>82155</v>
      </c>
      <c r="J25" s="218">
        <v>0</v>
      </c>
      <c r="K25" s="219">
        <f t="shared" si="0"/>
        <v>62.238636363636367</v>
      </c>
      <c r="L25" s="220"/>
    </row>
    <row r="26" spans="1:12" s="44" customFormat="1" ht="18" customHeight="1" x14ac:dyDescent="0.25">
      <c r="A26" s="33" t="s">
        <v>62</v>
      </c>
      <c r="B26" s="34"/>
      <c r="C26" s="35"/>
      <c r="D26" s="36" t="s">
        <v>77</v>
      </c>
      <c r="E26" s="37">
        <f t="shared" ref="E26:F26" si="8">SUM(E22:E25)</f>
        <v>184789</v>
      </c>
      <c r="F26" s="38">
        <f t="shared" si="8"/>
        <v>0</v>
      </c>
      <c r="G26" s="37">
        <f t="shared" ref="G26:H26" si="9">SUM(G22:G25)</f>
        <v>173789</v>
      </c>
      <c r="H26" s="38">
        <f t="shared" si="9"/>
        <v>0</v>
      </c>
      <c r="I26" s="37">
        <f t="shared" ref="I26:J26" si="10">SUM(I22:I25)</f>
        <v>95213</v>
      </c>
      <c r="J26" s="38">
        <f t="shared" si="10"/>
        <v>0</v>
      </c>
      <c r="K26" s="85">
        <f t="shared" si="0"/>
        <v>54.786551507862981</v>
      </c>
      <c r="L26" s="86"/>
    </row>
    <row r="27" spans="1:12" ht="18" customHeight="1" x14ac:dyDescent="0.25">
      <c r="A27" s="39" t="s">
        <v>78</v>
      </c>
      <c r="B27" s="40"/>
      <c r="C27" s="41"/>
      <c r="D27" s="130" t="s">
        <v>79</v>
      </c>
      <c r="E27" s="42"/>
      <c r="F27" s="43"/>
      <c r="G27" s="42"/>
      <c r="H27" s="43"/>
      <c r="I27" s="42"/>
      <c r="J27" s="43"/>
      <c r="K27" s="87"/>
      <c r="L27" s="88"/>
    </row>
    <row r="28" spans="1:12" s="31" customFormat="1" ht="18" customHeight="1" x14ac:dyDescent="0.25">
      <c r="A28" s="28"/>
      <c r="B28" s="29">
        <v>1</v>
      </c>
      <c r="C28" s="30"/>
      <c r="D28" s="127" t="s">
        <v>80</v>
      </c>
      <c r="E28" s="94"/>
      <c r="F28" s="128"/>
      <c r="G28" s="94"/>
      <c r="H28" s="128"/>
      <c r="I28" s="217"/>
      <c r="J28" s="218"/>
      <c r="K28" s="219"/>
      <c r="L28" s="220"/>
    </row>
    <row r="29" spans="1:12" ht="18" customHeight="1" x14ac:dyDescent="0.25">
      <c r="A29" s="28"/>
      <c r="B29" s="29"/>
      <c r="C29" s="30" t="s">
        <v>55</v>
      </c>
      <c r="D29" s="127" t="s">
        <v>81</v>
      </c>
      <c r="E29" s="94">
        <v>739140</v>
      </c>
      <c r="F29" s="128">
        <v>100000</v>
      </c>
      <c r="G29" s="94">
        <v>291430</v>
      </c>
      <c r="H29" s="128">
        <v>180000</v>
      </c>
      <c r="I29" s="217">
        <v>27059</v>
      </c>
      <c r="J29" s="218">
        <v>0</v>
      </c>
      <c r="K29" s="219">
        <f t="shared" si="0"/>
        <v>9.2849054661496755</v>
      </c>
      <c r="L29" s="220">
        <f t="shared" si="1"/>
        <v>0</v>
      </c>
    </row>
    <row r="30" spans="1:12" ht="18" customHeight="1" x14ac:dyDescent="0.25">
      <c r="A30" s="28"/>
      <c r="B30" s="29"/>
      <c r="C30" s="30" t="s">
        <v>60</v>
      </c>
      <c r="D30" s="127" t="s">
        <v>82</v>
      </c>
      <c r="E30" s="94">
        <v>50000</v>
      </c>
      <c r="F30" s="128">
        <v>0</v>
      </c>
      <c r="G30" s="94">
        <v>36400</v>
      </c>
      <c r="H30" s="128">
        <v>0</v>
      </c>
      <c r="I30" s="217">
        <v>0</v>
      </c>
      <c r="J30" s="218">
        <v>0</v>
      </c>
      <c r="K30" s="219">
        <f t="shared" si="0"/>
        <v>0</v>
      </c>
      <c r="L30" s="220"/>
    </row>
    <row r="31" spans="1:12" ht="18" customHeight="1" x14ac:dyDescent="0.25">
      <c r="A31" s="28"/>
      <c r="B31" s="29"/>
      <c r="C31" s="30" t="s">
        <v>62</v>
      </c>
      <c r="D31" s="127" t="s">
        <v>83</v>
      </c>
      <c r="E31" s="94">
        <v>15000</v>
      </c>
      <c r="F31" s="128">
        <v>145000</v>
      </c>
      <c r="G31" s="94">
        <v>14800</v>
      </c>
      <c r="H31" s="128">
        <v>515000</v>
      </c>
      <c r="I31" s="217">
        <v>0</v>
      </c>
      <c r="J31" s="218">
        <v>0</v>
      </c>
      <c r="K31" s="219">
        <f t="shared" si="0"/>
        <v>0</v>
      </c>
      <c r="L31" s="220">
        <f t="shared" si="1"/>
        <v>0</v>
      </c>
    </row>
    <row r="32" spans="1:12" ht="18" customHeight="1" x14ac:dyDescent="0.25">
      <c r="A32" s="28"/>
      <c r="B32" s="29"/>
      <c r="C32" s="30" t="s">
        <v>78</v>
      </c>
      <c r="D32" s="127" t="s">
        <v>84</v>
      </c>
      <c r="E32" s="94">
        <v>15000</v>
      </c>
      <c r="F32" s="128">
        <v>0</v>
      </c>
      <c r="G32" s="94">
        <v>9000</v>
      </c>
      <c r="H32" s="128">
        <v>0</v>
      </c>
      <c r="I32" s="217">
        <v>0</v>
      </c>
      <c r="J32" s="218">
        <v>0</v>
      </c>
      <c r="K32" s="219">
        <f t="shared" si="0"/>
        <v>0</v>
      </c>
      <c r="L32" s="220"/>
    </row>
    <row r="33" spans="1:12" ht="18" customHeight="1" x14ac:dyDescent="0.25">
      <c r="A33" s="28"/>
      <c r="B33" s="29"/>
      <c r="C33" s="30" t="s">
        <v>85</v>
      </c>
      <c r="D33" s="127" t="s">
        <v>86</v>
      </c>
      <c r="E33" s="94">
        <v>110000</v>
      </c>
      <c r="F33" s="128">
        <v>20000</v>
      </c>
      <c r="G33" s="94">
        <v>110000</v>
      </c>
      <c r="H33" s="128">
        <v>8000</v>
      </c>
      <c r="I33" s="217">
        <v>4583</v>
      </c>
      <c r="J33" s="218">
        <v>0</v>
      </c>
      <c r="K33" s="219">
        <f t="shared" si="0"/>
        <v>4.166363636363636</v>
      </c>
      <c r="L33" s="220">
        <f t="shared" si="1"/>
        <v>0</v>
      </c>
    </row>
    <row r="34" spans="1:12" ht="18" customHeight="1" thickBot="1" x14ac:dyDescent="0.3">
      <c r="A34" s="45" t="s">
        <v>78</v>
      </c>
      <c r="B34" s="46"/>
      <c r="C34" s="47"/>
      <c r="D34" s="48" t="s">
        <v>87</v>
      </c>
      <c r="E34" s="49">
        <f t="shared" ref="E34:F34" si="11">SUM(E29:E33)</f>
        <v>929140</v>
      </c>
      <c r="F34" s="50">
        <f t="shared" si="11"/>
        <v>265000</v>
      </c>
      <c r="G34" s="49">
        <f t="shared" ref="G34:H34" si="12">SUM(G29:G33)</f>
        <v>461630</v>
      </c>
      <c r="H34" s="50">
        <f t="shared" si="12"/>
        <v>703000</v>
      </c>
      <c r="I34" s="49">
        <f t="shared" ref="I34:J34" si="13">SUM(I29:I33)</f>
        <v>31642</v>
      </c>
      <c r="J34" s="50">
        <f t="shared" si="13"/>
        <v>0</v>
      </c>
      <c r="K34" s="89">
        <f t="shared" si="0"/>
        <v>6.8544072092368342</v>
      </c>
      <c r="L34" s="90">
        <f t="shared" si="1"/>
        <v>0</v>
      </c>
    </row>
    <row r="35" spans="1:12" s="55" customFormat="1" ht="19.5" customHeight="1" thickTop="1" x14ac:dyDescent="0.25">
      <c r="A35" s="51"/>
      <c r="B35" s="52"/>
      <c r="C35" s="51"/>
      <c r="D35" s="53"/>
      <c r="E35" s="54"/>
      <c r="F35" s="54"/>
      <c r="G35" s="54"/>
      <c r="H35" s="54"/>
      <c r="I35" s="54"/>
      <c r="J35" s="54"/>
      <c r="K35" s="54"/>
      <c r="L35" s="54"/>
    </row>
    <row r="36" spans="1:12" s="55" customFormat="1" ht="18.75" customHeight="1" x14ac:dyDescent="0.25">
      <c r="A36" s="51"/>
      <c r="B36" s="52"/>
      <c r="C36" s="51"/>
      <c r="D36" s="53"/>
      <c r="E36" s="54"/>
      <c r="F36" s="54"/>
      <c r="G36" s="54"/>
      <c r="H36" s="54"/>
      <c r="I36" s="54"/>
      <c r="J36" s="54"/>
      <c r="K36" s="54"/>
      <c r="L36" s="54"/>
    </row>
    <row r="37" spans="1:12" s="55" customFormat="1" ht="18.75" customHeight="1" x14ac:dyDescent="0.25">
      <c r="A37" s="51"/>
      <c r="B37" s="52"/>
      <c r="C37" s="51"/>
      <c r="D37" s="53"/>
      <c r="E37" s="54"/>
      <c r="F37" s="54"/>
      <c r="G37" s="54"/>
      <c r="H37" s="54"/>
      <c r="I37" s="54"/>
      <c r="J37" s="54"/>
      <c r="K37" s="54"/>
      <c r="L37" s="54"/>
    </row>
    <row r="38" spans="1:12" s="55" customFormat="1" ht="28.5" customHeight="1" x14ac:dyDescent="0.35">
      <c r="A38" s="446" t="s">
        <v>250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100"/>
    </row>
    <row r="39" spans="1:12" s="55" customFormat="1" ht="29.45" customHeight="1" thickBot="1" x14ac:dyDescent="0.3">
      <c r="A39" s="51"/>
      <c r="B39" s="52"/>
      <c r="C39" s="51"/>
      <c r="D39" s="53"/>
      <c r="E39" s="56"/>
      <c r="F39" s="56"/>
      <c r="G39" s="56"/>
      <c r="I39" s="56"/>
      <c r="J39" s="22"/>
      <c r="K39" s="56"/>
      <c r="L39" s="22" t="s">
        <v>88</v>
      </c>
    </row>
    <row r="40" spans="1:12" ht="33" customHeight="1" thickBot="1" x14ac:dyDescent="0.25">
      <c r="A40" s="449" t="s">
        <v>51</v>
      </c>
      <c r="B40" s="450"/>
      <c r="C40" s="451"/>
      <c r="D40" s="455" t="s">
        <v>52</v>
      </c>
      <c r="E40" s="447" t="s">
        <v>231</v>
      </c>
      <c r="F40" s="448"/>
      <c r="G40" s="447" t="s">
        <v>249</v>
      </c>
      <c r="H40" s="448"/>
      <c r="I40" s="447" t="s">
        <v>245</v>
      </c>
      <c r="J40" s="448"/>
      <c r="K40" s="447" t="s">
        <v>223</v>
      </c>
      <c r="L40" s="448"/>
    </row>
    <row r="41" spans="1:12" ht="33" customHeight="1" thickBot="1" x14ac:dyDescent="0.25">
      <c r="A41" s="452"/>
      <c r="B41" s="453"/>
      <c r="C41" s="454"/>
      <c r="D41" s="456"/>
      <c r="E41" s="124" t="s">
        <v>53</v>
      </c>
      <c r="F41" s="125" t="s">
        <v>54</v>
      </c>
      <c r="G41" s="124" t="s">
        <v>53</v>
      </c>
      <c r="H41" s="125" t="s">
        <v>54</v>
      </c>
      <c r="I41" s="124" t="s">
        <v>53</v>
      </c>
      <c r="J41" s="125" t="s">
        <v>54</v>
      </c>
      <c r="K41" s="124" t="s">
        <v>53</v>
      </c>
      <c r="L41" s="125" t="s">
        <v>54</v>
      </c>
    </row>
    <row r="42" spans="1:12" ht="17.45" customHeight="1" x14ac:dyDescent="0.25">
      <c r="A42" s="23" t="s">
        <v>85</v>
      </c>
      <c r="B42" s="24"/>
      <c r="C42" s="25"/>
      <c r="D42" s="126" t="s">
        <v>89</v>
      </c>
      <c r="E42" s="131"/>
      <c r="F42" s="132"/>
      <c r="G42" s="131"/>
      <c r="H42" s="132"/>
      <c r="I42" s="131"/>
      <c r="J42" s="132"/>
      <c r="K42" s="131"/>
      <c r="L42" s="132"/>
    </row>
    <row r="43" spans="1:12" s="31" customFormat="1" ht="17.45" customHeight="1" x14ac:dyDescent="0.25">
      <c r="A43" s="28"/>
      <c r="B43" s="29">
        <v>1</v>
      </c>
      <c r="C43" s="30"/>
      <c r="D43" s="127" t="s">
        <v>90</v>
      </c>
      <c r="E43" s="133"/>
      <c r="F43" s="134"/>
      <c r="G43" s="133"/>
      <c r="H43" s="134"/>
      <c r="I43" s="221"/>
      <c r="J43" s="222"/>
      <c r="K43" s="223"/>
      <c r="L43" s="224"/>
    </row>
    <row r="44" spans="1:12" s="31" customFormat="1" ht="17.45" customHeight="1" x14ac:dyDescent="0.25">
      <c r="A44" s="28"/>
      <c r="B44" s="29"/>
      <c r="C44" s="30" t="s">
        <v>55</v>
      </c>
      <c r="D44" s="127" t="s">
        <v>91</v>
      </c>
      <c r="E44" s="94">
        <v>8271385</v>
      </c>
      <c r="F44" s="128">
        <v>0</v>
      </c>
      <c r="G44" s="94">
        <v>8312479</v>
      </c>
      <c r="H44" s="128">
        <v>27500</v>
      </c>
      <c r="I44" s="217">
        <v>3417943</v>
      </c>
      <c r="J44" s="218">
        <v>0</v>
      </c>
      <c r="K44" s="219">
        <f t="shared" ref="K44:K74" si="14">I44/G44*100</f>
        <v>41.118215155791674</v>
      </c>
      <c r="L44" s="220">
        <f t="shared" ref="L44:L74" si="15">J44/H44*100</f>
        <v>0</v>
      </c>
    </row>
    <row r="45" spans="1:12" s="32" customFormat="1" ht="17.45" customHeight="1" x14ac:dyDescent="0.25">
      <c r="A45" s="28"/>
      <c r="B45" s="29"/>
      <c r="C45" s="30" t="s">
        <v>60</v>
      </c>
      <c r="D45" s="127" t="s">
        <v>92</v>
      </c>
      <c r="E45" s="94">
        <v>591100</v>
      </c>
      <c r="F45" s="128">
        <v>0</v>
      </c>
      <c r="G45" s="94">
        <v>579278</v>
      </c>
      <c r="H45" s="128">
        <v>0</v>
      </c>
      <c r="I45" s="217">
        <v>251760</v>
      </c>
      <c r="J45" s="218">
        <v>0</v>
      </c>
      <c r="K45" s="219">
        <f t="shared" si="14"/>
        <v>43.460998000959819</v>
      </c>
      <c r="L45" s="220"/>
    </row>
    <row r="46" spans="1:12" s="31" customFormat="1" ht="17.45" customHeight="1" x14ac:dyDescent="0.25">
      <c r="A46" s="28"/>
      <c r="B46" s="29">
        <v>2</v>
      </c>
      <c r="C46" s="30"/>
      <c r="D46" s="127" t="s">
        <v>93</v>
      </c>
      <c r="E46" s="94"/>
      <c r="F46" s="128"/>
      <c r="G46" s="94"/>
      <c r="H46" s="128"/>
      <c r="I46" s="217"/>
      <c r="J46" s="218"/>
      <c r="K46" s="219"/>
      <c r="L46" s="220"/>
    </row>
    <row r="47" spans="1:12" s="31" customFormat="1" ht="17.45" customHeight="1" x14ac:dyDescent="0.25">
      <c r="A47" s="28"/>
      <c r="B47" s="29"/>
      <c r="C47" s="30" t="s">
        <v>55</v>
      </c>
      <c r="D47" s="127" t="s">
        <v>94</v>
      </c>
      <c r="E47" s="94">
        <v>1003072</v>
      </c>
      <c r="F47" s="128">
        <v>0</v>
      </c>
      <c r="G47" s="94">
        <v>1138453</v>
      </c>
      <c r="H47" s="128">
        <v>0</v>
      </c>
      <c r="I47" s="217">
        <v>481073</v>
      </c>
      <c r="J47" s="218">
        <v>0</v>
      </c>
      <c r="K47" s="219">
        <f t="shared" si="14"/>
        <v>42.256729087630319</v>
      </c>
      <c r="L47" s="220"/>
    </row>
    <row r="48" spans="1:12" s="31" customFormat="1" ht="17.45" customHeight="1" x14ac:dyDescent="0.25">
      <c r="A48" s="28"/>
      <c r="B48" s="29"/>
      <c r="C48" s="30" t="s">
        <v>60</v>
      </c>
      <c r="D48" s="127" t="s">
        <v>95</v>
      </c>
      <c r="E48" s="94">
        <v>815676</v>
      </c>
      <c r="F48" s="128">
        <v>0</v>
      </c>
      <c r="G48" s="94">
        <v>870160</v>
      </c>
      <c r="H48" s="128">
        <v>0</v>
      </c>
      <c r="I48" s="217">
        <v>350307</v>
      </c>
      <c r="J48" s="218">
        <v>0</v>
      </c>
      <c r="K48" s="219">
        <f t="shared" si="14"/>
        <v>40.257768686218625</v>
      </c>
      <c r="L48" s="220"/>
    </row>
    <row r="49" spans="1:12" s="31" customFormat="1" ht="17.45" customHeight="1" x14ac:dyDescent="0.25">
      <c r="A49" s="28"/>
      <c r="B49" s="29"/>
      <c r="C49" s="30" t="s">
        <v>62</v>
      </c>
      <c r="D49" s="127" t="s">
        <v>96</v>
      </c>
      <c r="E49" s="94">
        <v>943712</v>
      </c>
      <c r="F49" s="128">
        <v>0</v>
      </c>
      <c r="G49" s="94">
        <v>1053108</v>
      </c>
      <c r="H49" s="128">
        <v>0</v>
      </c>
      <c r="I49" s="217">
        <v>451368</v>
      </c>
      <c r="J49" s="218">
        <v>0</v>
      </c>
      <c r="K49" s="219">
        <f t="shared" si="14"/>
        <v>42.860561309951116</v>
      </c>
      <c r="L49" s="220"/>
    </row>
    <row r="50" spans="1:12" s="31" customFormat="1" ht="17.45" customHeight="1" x14ac:dyDescent="0.25">
      <c r="A50" s="28"/>
      <c r="B50" s="29"/>
      <c r="C50" s="30" t="s">
        <v>78</v>
      </c>
      <c r="D50" s="127" t="s">
        <v>97</v>
      </c>
      <c r="E50" s="94">
        <v>826080</v>
      </c>
      <c r="F50" s="128">
        <v>0</v>
      </c>
      <c r="G50" s="94">
        <v>891966</v>
      </c>
      <c r="H50" s="128">
        <v>0</v>
      </c>
      <c r="I50" s="217">
        <v>376867</v>
      </c>
      <c r="J50" s="218">
        <v>0</v>
      </c>
      <c r="K50" s="219">
        <f t="shared" si="14"/>
        <v>42.251274151705331</v>
      </c>
      <c r="L50" s="220"/>
    </row>
    <row r="51" spans="1:12" s="31" customFormat="1" ht="17.45" customHeight="1" x14ac:dyDescent="0.25">
      <c r="A51" s="28"/>
      <c r="B51" s="29"/>
      <c r="C51" s="30" t="s">
        <v>85</v>
      </c>
      <c r="D51" s="127" t="s">
        <v>98</v>
      </c>
      <c r="E51" s="94">
        <v>819900</v>
      </c>
      <c r="F51" s="128">
        <v>0</v>
      </c>
      <c r="G51" s="94">
        <v>883450</v>
      </c>
      <c r="H51" s="128">
        <v>0</v>
      </c>
      <c r="I51" s="217">
        <v>385962</v>
      </c>
      <c r="J51" s="218">
        <v>0</v>
      </c>
      <c r="K51" s="219">
        <f t="shared" si="14"/>
        <v>43.688041202105381</v>
      </c>
      <c r="L51" s="220"/>
    </row>
    <row r="52" spans="1:12" s="31" customFormat="1" ht="17.45" customHeight="1" x14ac:dyDescent="0.25">
      <c r="A52" s="28"/>
      <c r="B52" s="29"/>
      <c r="C52" s="30" t="s">
        <v>99</v>
      </c>
      <c r="D52" s="127" t="s">
        <v>100</v>
      </c>
      <c r="E52" s="94">
        <v>797392</v>
      </c>
      <c r="F52" s="128">
        <v>0</v>
      </c>
      <c r="G52" s="94">
        <v>892635</v>
      </c>
      <c r="H52" s="128">
        <v>0</v>
      </c>
      <c r="I52" s="217">
        <v>395685</v>
      </c>
      <c r="J52" s="218">
        <v>0</v>
      </c>
      <c r="K52" s="219">
        <f t="shared" si="14"/>
        <v>44.327748743887483</v>
      </c>
      <c r="L52" s="220"/>
    </row>
    <row r="53" spans="1:12" s="31" customFormat="1" ht="17.45" customHeight="1" x14ac:dyDescent="0.25">
      <c r="A53" s="28"/>
      <c r="B53" s="29"/>
      <c r="C53" s="30" t="s">
        <v>101</v>
      </c>
      <c r="D53" s="127" t="s">
        <v>102</v>
      </c>
      <c r="E53" s="94">
        <v>574366</v>
      </c>
      <c r="F53" s="128">
        <v>0</v>
      </c>
      <c r="G53" s="94">
        <v>619672</v>
      </c>
      <c r="H53" s="128">
        <v>0</v>
      </c>
      <c r="I53" s="217">
        <v>295614</v>
      </c>
      <c r="J53" s="218">
        <v>0</v>
      </c>
      <c r="K53" s="219">
        <f t="shared" si="14"/>
        <v>47.704914858183038</v>
      </c>
      <c r="L53" s="220"/>
    </row>
    <row r="54" spans="1:12" s="31" customFormat="1" ht="17.45" customHeight="1" x14ac:dyDescent="0.25">
      <c r="A54" s="28"/>
      <c r="B54" s="29"/>
      <c r="C54" s="30" t="s">
        <v>103</v>
      </c>
      <c r="D54" s="127" t="s">
        <v>104</v>
      </c>
      <c r="E54" s="94">
        <v>1148605</v>
      </c>
      <c r="F54" s="128">
        <v>0</v>
      </c>
      <c r="G54" s="94">
        <v>1239139</v>
      </c>
      <c r="H54" s="128">
        <v>0</v>
      </c>
      <c r="I54" s="217">
        <v>524481</v>
      </c>
      <c r="J54" s="218">
        <v>0</v>
      </c>
      <c r="K54" s="219">
        <f t="shared" si="14"/>
        <v>42.326244271223814</v>
      </c>
      <c r="L54" s="220"/>
    </row>
    <row r="55" spans="1:12" s="31" customFormat="1" ht="17.45" customHeight="1" x14ac:dyDescent="0.25">
      <c r="A55" s="28"/>
      <c r="B55" s="29"/>
      <c r="C55" s="30" t="s">
        <v>105</v>
      </c>
      <c r="D55" s="127" t="s">
        <v>106</v>
      </c>
      <c r="E55" s="94">
        <v>670291</v>
      </c>
      <c r="F55" s="128">
        <v>0</v>
      </c>
      <c r="G55" s="94">
        <v>756493</v>
      </c>
      <c r="H55" s="128">
        <v>0</v>
      </c>
      <c r="I55" s="217">
        <v>349407</v>
      </c>
      <c r="J55" s="218">
        <v>0</v>
      </c>
      <c r="K55" s="219">
        <f t="shared" si="14"/>
        <v>46.187737361746905</v>
      </c>
      <c r="L55" s="220"/>
    </row>
    <row r="56" spans="1:12" s="31" customFormat="1" ht="17.45" customHeight="1" x14ac:dyDescent="0.25">
      <c r="A56" s="28"/>
      <c r="B56" s="29"/>
      <c r="C56" s="30" t="s">
        <v>107</v>
      </c>
      <c r="D56" s="127" t="s">
        <v>108</v>
      </c>
      <c r="E56" s="94">
        <v>1097745</v>
      </c>
      <c r="F56" s="128">
        <v>0</v>
      </c>
      <c r="G56" s="94">
        <v>1189996</v>
      </c>
      <c r="H56" s="128">
        <v>0</v>
      </c>
      <c r="I56" s="217">
        <v>512302</v>
      </c>
      <c r="J56" s="218">
        <v>0</v>
      </c>
      <c r="K56" s="219">
        <f t="shared" si="14"/>
        <v>43.050732943640149</v>
      </c>
      <c r="L56" s="220"/>
    </row>
    <row r="57" spans="1:12" s="31" customFormat="1" ht="17.45" customHeight="1" x14ac:dyDescent="0.25">
      <c r="A57" s="28"/>
      <c r="B57" s="29"/>
      <c r="C57" s="30" t="s">
        <v>109</v>
      </c>
      <c r="D57" s="127" t="s">
        <v>110</v>
      </c>
      <c r="E57" s="94">
        <v>1175613</v>
      </c>
      <c r="F57" s="128">
        <v>0</v>
      </c>
      <c r="G57" s="94">
        <v>1285613</v>
      </c>
      <c r="H57" s="128">
        <v>0</v>
      </c>
      <c r="I57" s="217">
        <v>532807</v>
      </c>
      <c r="J57" s="218">
        <v>0</v>
      </c>
      <c r="K57" s="219">
        <f t="shared" si="14"/>
        <v>41.443809295643405</v>
      </c>
      <c r="L57" s="220"/>
    </row>
    <row r="58" spans="1:12" s="31" customFormat="1" ht="17.45" customHeight="1" x14ac:dyDescent="0.25">
      <c r="A58" s="28"/>
      <c r="B58" s="29">
        <v>3</v>
      </c>
      <c r="C58" s="30"/>
      <c r="D58" s="127" t="s">
        <v>111</v>
      </c>
      <c r="E58" s="94"/>
      <c r="F58" s="128"/>
      <c r="G58" s="94"/>
      <c r="H58" s="128"/>
      <c r="I58" s="217"/>
      <c r="J58" s="218"/>
      <c r="K58" s="219"/>
      <c r="L58" s="220"/>
    </row>
    <row r="59" spans="1:12" s="31" customFormat="1" ht="17.45" customHeight="1" x14ac:dyDescent="0.25">
      <c r="A59" s="28"/>
      <c r="B59" s="29"/>
      <c r="C59" s="30" t="s">
        <v>55</v>
      </c>
      <c r="D59" s="127" t="s">
        <v>112</v>
      </c>
      <c r="E59" s="94">
        <v>364851</v>
      </c>
      <c r="F59" s="128">
        <v>1481980</v>
      </c>
      <c r="G59" s="94">
        <v>519831</v>
      </c>
      <c r="H59" s="128">
        <v>1197769</v>
      </c>
      <c r="I59" s="217">
        <v>118343</v>
      </c>
      <c r="J59" s="218">
        <v>92342</v>
      </c>
      <c r="K59" s="219">
        <f t="shared" si="14"/>
        <v>22.765668072892922</v>
      </c>
      <c r="L59" s="220">
        <f t="shared" si="15"/>
        <v>7.7094999119195773</v>
      </c>
    </row>
    <row r="60" spans="1:12" s="31" customFormat="1" ht="17.45" customHeight="1" x14ac:dyDescent="0.25">
      <c r="A60" s="28"/>
      <c r="B60" s="29"/>
      <c r="C60" s="30" t="s">
        <v>60</v>
      </c>
      <c r="D60" s="127" t="s">
        <v>113</v>
      </c>
      <c r="E60" s="94">
        <v>0</v>
      </c>
      <c r="F60" s="128">
        <v>18740</v>
      </c>
      <c r="G60" s="94">
        <v>0</v>
      </c>
      <c r="H60" s="128">
        <v>18740</v>
      </c>
      <c r="I60" s="217">
        <v>0</v>
      </c>
      <c r="J60" s="218">
        <v>0</v>
      </c>
      <c r="K60" s="219"/>
      <c r="L60" s="220">
        <f t="shared" si="15"/>
        <v>0</v>
      </c>
    </row>
    <row r="61" spans="1:12" s="31" customFormat="1" ht="17.45" customHeight="1" x14ac:dyDescent="0.25">
      <c r="A61" s="28"/>
      <c r="B61" s="29">
        <v>4</v>
      </c>
      <c r="C61" s="30"/>
      <c r="D61" s="127" t="s">
        <v>114</v>
      </c>
      <c r="E61" s="94">
        <v>225870</v>
      </c>
      <c r="F61" s="128">
        <v>0</v>
      </c>
      <c r="G61" s="94">
        <v>112405</v>
      </c>
      <c r="H61" s="128">
        <v>0</v>
      </c>
      <c r="I61" s="217">
        <v>13336</v>
      </c>
      <c r="J61" s="218">
        <v>0</v>
      </c>
      <c r="K61" s="219">
        <f t="shared" si="14"/>
        <v>11.864240914550065</v>
      </c>
      <c r="L61" s="220"/>
    </row>
    <row r="62" spans="1:12" ht="17.45" customHeight="1" x14ac:dyDescent="0.25">
      <c r="A62" s="28"/>
      <c r="B62" s="29">
        <v>5</v>
      </c>
      <c r="C62" s="30"/>
      <c r="D62" s="127" t="s">
        <v>115</v>
      </c>
      <c r="E62" s="94">
        <v>2095199</v>
      </c>
      <c r="F62" s="128">
        <v>0</v>
      </c>
      <c r="G62" s="94">
        <v>2216746</v>
      </c>
      <c r="H62" s="128">
        <v>0</v>
      </c>
      <c r="I62" s="217">
        <v>891770</v>
      </c>
      <c r="J62" s="218">
        <v>0</v>
      </c>
      <c r="K62" s="219">
        <f t="shared" si="14"/>
        <v>40.228785796839148</v>
      </c>
      <c r="L62" s="220"/>
    </row>
    <row r="63" spans="1:12" ht="17.45" customHeight="1" x14ac:dyDescent="0.25">
      <c r="A63" s="28"/>
      <c r="B63" s="29">
        <v>6</v>
      </c>
      <c r="C63" s="30"/>
      <c r="D63" s="127" t="s">
        <v>116</v>
      </c>
      <c r="E63" s="94">
        <v>2497590</v>
      </c>
      <c r="F63" s="128">
        <v>0</v>
      </c>
      <c r="G63" s="94">
        <v>2502784</v>
      </c>
      <c r="H63" s="128">
        <v>0</v>
      </c>
      <c r="I63" s="217">
        <v>799033</v>
      </c>
      <c r="J63" s="218">
        <v>0</v>
      </c>
      <c r="K63" s="219">
        <f t="shared" si="14"/>
        <v>31.925767465350585</v>
      </c>
      <c r="L63" s="220"/>
    </row>
    <row r="64" spans="1:12" ht="17.45" customHeight="1" x14ac:dyDescent="0.25">
      <c r="A64" s="28"/>
      <c r="B64" s="29">
        <v>7</v>
      </c>
      <c r="C64" s="30"/>
      <c r="D64" s="127" t="s">
        <v>117</v>
      </c>
      <c r="E64" s="94">
        <v>4570</v>
      </c>
      <c r="F64" s="128">
        <v>0</v>
      </c>
      <c r="G64" s="94">
        <v>4570</v>
      </c>
      <c r="H64" s="128">
        <v>0</v>
      </c>
      <c r="I64" s="217">
        <v>1817</v>
      </c>
      <c r="J64" s="218">
        <v>0</v>
      </c>
      <c r="K64" s="219">
        <f t="shared" si="14"/>
        <v>39.759299781181618</v>
      </c>
      <c r="L64" s="220"/>
    </row>
    <row r="65" spans="1:12" s="57" customFormat="1" ht="17.45" customHeight="1" x14ac:dyDescent="0.25">
      <c r="A65" s="28"/>
      <c r="B65" s="29">
        <v>8</v>
      </c>
      <c r="C65" s="30"/>
      <c r="D65" s="135" t="s">
        <v>118</v>
      </c>
      <c r="E65" s="94">
        <v>18000</v>
      </c>
      <c r="F65" s="128">
        <v>0</v>
      </c>
      <c r="G65" s="94">
        <v>18000</v>
      </c>
      <c r="H65" s="128">
        <v>0</v>
      </c>
      <c r="I65" s="217">
        <v>133</v>
      </c>
      <c r="J65" s="218">
        <v>0</v>
      </c>
      <c r="K65" s="219">
        <f t="shared" si="14"/>
        <v>0.73888888888888893</v>
      </c>
      <c r="L65" s="220"/>
    </row>
    <row r="66" spans="1:12" ht="17.45" customHeight="1" x14ac:dyDescent="0.25">
      <c r="A66" s="33" t="s">
        <v>85</v>
      </c>
      <c r="B66" s="34"/>
      <c r="C66" s="35"/>
      <c r="D66" s="36" t="s">
        <v>119</v>
      </c>
      <c r="E66" s="37">
        <f t="shared" ref="E66" si="16">SUM(E44:E65)</f>
        <v>23941017</v>
      </c>
      <c r="F66" s="38">
        <f t="shared" ref="F66" si="17">SUM(F43:F65)</f>
        <v>1500720</v>
      </c>
      <c r="G66" s="37">
        <f t="shared" ref="G66" si="18">SUM(G44:G65)</f>
        <v>25086778</v>
      </c>
      <c r="H66" s="38">
        <f t="shared" ref="H66" si="19">SUM(H43:H65)</f>
        <v>1244009</v>
      </c>
      <c r="I66" s="37">
        <f t="shared" ref="I66" si="20">SUM(I44:I65)</f>
        <v>10150008</v>
      </c>
      <c r="J66" s="38">
        <f t="shared" ref="J66" si="21">SUM(J43:J65)</f>
        <v>92342</v>
      </c>
      <c r="K66" s="85">
        <f t="shared" si="14"/>
        <v>40.459591901359353</v>
      </c>
      <c r="L66" s="86">
        <f t="shared" si="15"/>
        <v>7.4229366507798575</v>
      </c>
    </row>
    <row r="67" spans="1:12" ht="17.45" customHeight="1" x14ac:dyDescent="0.25">
      <c r="A67" s="39" t="s">
        <v>99</v>
      </c>
      <c r="B67" s="40"/>
      <c r="C67" s="41"/>
      <c r="D67" s="130" t="s">
        <v>120</v>
      </c>
      <c r="E67" s="42"/>
      <c r="F67" s="43"/>
      <c r="G67" s="42"/>
      <c r="H67" s="43"/>
      <c r="I67" s="42"/>
      <c r="J67" s="43"/>
      <c r="K67" s="87"/>
      <c r="L67" s="88"/>
    </row>
    <row r="68" spans="1:12" ht="17.45" customHeight="1" x14ac:dyDescent="0.25">
      <c r="A68" s="28"/>
      <c r="B68" s="29">
        <v>1</v>
      </c>
      <c r="C68" s="30"/>
      <c r="D68" s="127" t="s">
        <v>121</v>
      </c>
      <c r="E68" s="94">
        <v>702813</v>
      </c>
      <c r="F68" s="128">
        <v>0</v>
      </c>
      <c r="G68" s="94">
        <v>688757</v>
      </c>
      <c r="H68" s="128">
        <v>0</v>
      </c>
      <c r="I68" s="217">
        <v>264849</v>
      </c>
      <c r="J68" s="218">
        <v>0</v>
      </c>
      <c r="K68" s="219">
        <f t="shared" si="14"/>
        <v>38.453184504839875</v>
      </c>
      <c r="L68" s="220"/>
    </row>
    <row r="69" spans="1:12" ht="17.45" customHeight="1" x14ac:dyDescent="0.25">
      <c r="A69" s="28"/>
      <c r="B69" s="29">
        <v>2</v>
      </c>
      <c r="C69" s="30"/>
      <c r="D69" s="127" t="s">
        <v>122</v>
      </c>
      <c r="E69" s="94">
        <v>1439934</v>
      </c>
      <c r="F69" s="128">
        <v>25000</v>
      </c>
      <c r="G69" s="94">
        <v>1459934</v>
      </c>
      <c r="H69" s="128">
        <v>25000</v>
      </c>
      <c r="I69" s="217">
        <v>603919</v>
      </c>
      <c r="J69" s="218">
        <v>0</v>
      </c>
      <c r="K69" s="219">
        <f t="shared" si="14"/>
        <v>41.366185046721284</v>
      </c>
      <c r="L69" s="220">
        <f t="shared" si="15"/>
        <v>0</v>
      </c>
    </row>
    <row r="70" spans="1:12" s="31" customFormat="1" ht="17.45" customHeight="1" x14ac:dyDescent="0.25">
      <c r="A70" s="28"/>
      <c r="B70" s="29">
        <v>3</v>
      </c>
      <c r="C70" s="30"/>
      <c r="D70" s="127" t="s">
        <v>123</v>
      </c>
      <c r="E70" s="94">
        <v>258676</v>
      </c>
      <c r="F70" s="128">
        <v>0</v>
      </c>
      <c r="G70" s="94">
        <v>188676</v>
      </c>
      <c r="H70" s="128">
        <v>0</v>
      </c>
      <c r="I70" s="217">
        <v>30123</v>
      </c>
      <c r="J70" s="218">
        <v>0</v>
      </c>
      <c r="K70" s="219">
        <f t="shared" si="14"/>
        <v>15.965464605991222</v>
      </c>
      <c r="L70" s="220"/>
    </row>
    <row r="71" spans="1:12" s="31" customFormat="1" ht="17.45" customHeight="1" x14ac:dyDescent="0.25">
      <c r="A71" s="28"/>
      <c r="B71" s="29">
        <v>4</v>
      </c>
      <c r="C71" s="30"/>
      <c r="D71" s="127" t="s">
        <v>124</v>
      </c>
      <c r="E71" s="94"/>
      <c r="F71" s="128"/>
      <c r="G71" s="94"/>
      <c r="H71" s="128"/>
      <c r="I71" s="217"/>
      <c r="J71" s="218"/>
      <c r="K71" s="219"/>
      <c r="L71" s="220"/>
    </row>
    <row r="72" spans="1:12" ht="17.45" customHeight="1" x14ac:dyDescent="0.25">
      <c r="A72" s="28"/>
      <c r="B72" s="29"/>
      <c r="C72" s="30" t="s">
        <v>55</v>
      </c>
      <c r="D72" s="127" t="s">
        <v>125</v>
      </c>
      <c r="E72" s="94">
        <v>25600</v>
      </c>
      <c r="F72" s="128">
        <v>0</v>
      </c>
      <c r="G72" s="94">
        <v>25600</v>
      </c>
      <c r="H72" s="128">
        <v>0</v>
      </c>
      <c r="I72" s="217">
        <v>0</v>
      </c>
      <c r="J72" s="218">
        <v>0</v>
      </c>
      <c r="K72" s="219">
        <f t="shared" si="14"/>
        <v>0</v>
      </c>
      <c r="L72" s="220"/>
    </row>
    <row r="73" spans="1:12" ht="17.45" customHeight="1" x14ac:dyDescent="0.25">
      <c r="A73" s="28"/>
      <c r="B73" s="29"/>
      <c r="C73" s="30" t="s">
        <v>60</v>
      </c>
      <c r="D73" s="127" t="s">
        <v>126</v>
      </c>
      <c r="E73" s="94">
        <v>241900</v>
      </c>
      <c r="F73" s="128">
        <v>21114</v>
      </c>
      <c r="G73" s="94">
        <v>374416</v>
      </c>
      <c r="H73" s="128">
        <v>67123</v>
      </c>
      <c r="I73" s="217">
        <v>132069</v>
      </c>
      <c r="J73" s="218">
        <v>0</v>
      </c>
      <c r="K73" s="219">
        <f t="shared" si="14"/>
        <v>35.273332336224946</v>
      </c>
      <c r="L73" s="220">
        <f t="shared" si="15"/>
        <v>0</v>
      </c>
    </row>
    <row r="74" spans="1:12" ht="17.45" customHeight="1" thickBot="1" x14ac:dyDescent="0.3">
      <c r="A74" s="58" t="s">
        <v>99</v>
      </c>
      <c r="B74" s="59"/>
      <c r="C74" s="60"/>
      <c r="D74" s="48" t="s">
        <v>127</v>
      </c>
      <c r="E74" s="49">
        <f t="shared" ref="E74:F74" si="22">SUM(E68:E73)</f>
        <v>2668923</v>
      </c>
      <c r="F74" s="50">
        <f t="shared" si="22"/>
        <v>46114</v>
      </c>
      <c r="G74" s="49">
        <f t="shared" ref="G74:H74" si="23">SUM(G68:G73)</f>
        <v>2737383</v>
      </c>
      <c r="H74" s="50">
        <f t="shared" si="23"/>
        <v>92123</v>
      </c>
      <c r="I74" s="49">
        <f t="shared" ref="I74:J74" si="24">SUM(I68:I73)</f>
        <v>1030960</v>
      </c>
      <c r="J74" s="50">
        <f t="shared" si="24"/>
        <v>0</v>
      </c>
      <c r="K74" s="89">
        <f t="shared" si="14"/>
        <v>37.662248943607821</v>
      </c>
      <c r="L74" s="90">
        <f t="shared" si="15"/>
        <v>0</v>
      </c>
    </row>
    <row r="75" spans="1:12" s="140" customFormat="1" ht="17.45" customHeight="1" x14ac:dyDescent="0.25">
      <c r="A75" s="136"/>
      <c r="B75" s="137"/>
      <c r="C75" s="136"/>
      <c r="D75" s="138"/>
      <c r="E75" s="139"/>
      <c r="F75" s="139"/>
      <c r="G75" s="139"/>
      <c r="H75" s="139"/>
      <c r="I75" s="139"/>
      <c r="J75" s="139"/>
      <c r="K75" s="139"/>
      <c r="L75" s="139"/>
    </row>
    <row r="76" spans="1:12" ht="39" customHeight="1" x14ac:dyDescent="0.35">
      <c r="A76" s="446" t="s">
        <v>250</v>
      </c>
      <c r="B76" s="446"/>
      <c r="C76" s="446"/>
      <c r="D76" s="446"/>
      <c r="E76" s="446"/>
      <c r="F76" s="446"/>
      <c r="G76" s="446"/>
      <c r="H76" s="446"/>
      <c r="I76" s="446"/>
      <c r="J76" s="446"/>
      <c r="K76" s="446"/>
      <c r="L76" s="446"/>
    </row>
    <row r="77" spans="1:12" ht="30" customHeight="1" thickBot="1" x14ac:dyDescent="0.3">
      <c r="A77" s="61"/>
      <c r="B77" s="62"/>
      <c r="C77" s="61"/>
      <c r="D77" s="63"/>
      <c r="E77" s="56"/>
      <c r="F77" s="56"/>
      <c r="G77" s="56"/>
      <c r="I77" s="56"/>
      <c r="J77" s="22"/>
      <c r="K77" s="56"/>
      <c r="L77" s="22" t="s">
        <v>128</v>
      </c>
    </row>
    <row r="78" spans="1:12" ht="33" customHeight="1" thickBot="1" x14ac:dyDescent="0.25">
      <c r="A78" s="449" t="s">
        <v>51</v>
      </c>
      <c r="B78" s="450"/>
      <c r="C78" s="451"/>
      <c r="D78" s="455" t="s">
        <v>52</v>
      </c>
      <c r="E78" s="447" t="s">
        <v>231</v>
      </c>
      <c r="F78" s="448"/>
      <c r="G78" s="447" t="s">
        <v>249</v>
      </c>
      <c r="H78" s="448"/>
      <c r="I78" s="447" t="s">
        <v>245</v>
      </c>
      <c r="J78" s="448"/>
      <c r="K78" s="447" t="s">
        <v>223</v>
      </c>
      <c r="L78" s="448"/>
    </row>
    <row r="79" spans="1:12" ht="33" customHeight="1" thickBot="1" x14ac:dyDescent="0.25">
      <c r="A79" s="452"/>
      <c r="B79" s="453"/>
      <c r="C79" s="454"/>
      <c r="D79" s="456"/>
      <c r="E79" s="124" t="s">
        <v>53</v>
      </c>
      <c r="F79" s="125" t="s">
        <v>54</v>
      </c>
      <c r="G79" s="124" t="s">
        <v>53</v>
      </c>
      <c r="H79" s="125" t="s">
        <v>54</v>
      </c>
      <c r="I79" s="124" t="s">
        <v>53</v>
      </c>
      <c r="J79" s="125" t="s">
        <v>54</v>
      </c>
      <c r="K79" s="124" t="s">
        <v>53</v>
      </c>
      <c r="L79" s="125" t="s">
        <v>54</v>
      </c>
    </row>
    <row r="80" spans="1:12" ht="17.45" customHeight="1" x14ac:dyDescent="0.25">
      <c r="A80" s="23" t="s">
        <v>101</v>
      </c>
      <c r="B80" s="24"/>
      <c r="C80" s="25"/>
      <c r="D80" s="126" t="s">
        <v>129</v>
      </c>
      <c r="E80" s="26"/>
      <c r="F80" s="27"/>
      <c r="G80" s="26"/>
      <c r="H80" s="27"/>
      <c r="I80" s="26"/>
      <c r="J80" s="27"/>
      <c r="K80" s="26"/>
      <c r="L80" s="27"/>
    </row>
    <row r="81" spans="1:12" s="44" customFormat="1" ht="17.45" customHeight="1" x14ac:dyDescent="0.25">
      <c r="A81" s="28"/>
      <c r="B81" s="29">
        <v>1</v>
      </c>
      <c r="C81" s="30"/>
      <c r="D81" s="127" t="s">
        <v>130</v>
      </c>
      <c r="E81" s="94">
        <v>1093965</v>
      </c>
      <c r="F81" s="128">
        <v>0</v>
      </c>
      <c r="G81" s="94">
        <v>195678</v>
      </c>
      <c r="H81" s="128">
        <v>252600</v>
      </c>
      <c r="I81" s="217">
        <v>68446</v>
      </c>
      <c r="J81" s="218">
        <v>131328</v>
      </c>
      <c r="K81" s="219">
        <f t="shared" ref="K81:K111" si="25">I81/G81*100</f>
        <v>34.978893897116691</v>
      </c>
      <c r="L81" s="220">
        <f t="shared" ref="L81:L105" si="26">J81/H81*100</f>
        <v>51.990498812351547</v>
      </c>
    </row>
    <row r="82" spans="1:12" s="31" customFormat="1" ht="17.45" customHeight="1" x14ac:dyDescent="0.25">
      <c r="A82" s="28"/>
      <c r="B82" s="29">
        <v>2</v>
      </c>
      <c r="C82" s="30"/>
      <c r="D82" s="127" t="s">
        <v>131</v>
      </c>
      <c r="E82" s="94"/>
      <c r="F82" s="128"/>
      <c r="G82" s="94"/>
      <c r="H82" s="128"/>
      <c r="I82" s="217"/>
      <c r="J82" s="218"/>
      <c r="K82" s="219"/>
      <c r="L82" s="220"/>
    </row>
    <row r="83" spans="1:12" s="31" customFormat="1" ht="17.45" customHeight="1" x14ac:dyDescent="0.25">
      <c r="A83" s="28"/>
      <c r="B83" s="29"/>
      <c r="C83" s="30" t="s">
        <v>55</v>
      </c>
      <c r="D83" s="127" t="s">
        <v>132</v>
      </c>
      <c r="E83" s="94">
        <v>15000</v>
      </c>
      <c r="F83" s="128">
        <v>0</v>
      </c>
      <c r="G83" s="94">
        <v>15000</v>
      </c>
      <c r="H83" s="128">
        <v>0</v>
      </c>
      <c r="I83" s="217">
        <v>0</v>
      </c>
      <c r="J83" s="218">
        <v>0</v>
      </c>
      <c r="K83" s="219">
        <f t="shared" si="25"/>
        <v>0</v>
      </c>
      <c r="L83" s="220"/>
    </row>
    <row r="84" spans="1:12" s="31" customFormat="1" ht="17.45" customHeight="1" x14ac:dyDescent="0.25">
      <c r="A84" s="28"/>
      <c r="B84" s="29"/>
      <c r="C84" s="30" t="s">
        <v>60</v>
      </c>
      <c r="D84" s="127" t="s">
        <v>133</v>
      </c>
      <c r="E84" s="94">
        <v>35875</v>
      </c>
      <c r="F84" s="128">
        <v>0</v>
      </c>
      <c r="G84" s="94">
        <v>35875</v>
      </c>
      <c r="H84" s="128">
        <v>0</v>
      </c>
      <c r="I84" s="217">
        <v>0</v>
      </c>
      <c r="J84" s="218">
        <v>0</v>
      </c>
      <c r="K84" s="219">
        <f t="shared" si="25"/>
        <v>0</v>
      </c>
      <c r="L84" s="220"/>
    </row>
    <row r="85" spans="1:12" s="31" customFormat="1" ht="17.45" customHeight="1" x14ac:dyDescent="0.25">
      <c r="A85" s="28"/>
      <c r="B85" s="29">
        <v>3</v>
      </c>
      <c r="C85" s="30"/>
      <c r="D85" s="127" t="s">
        <v>134</v>
      </c>
      <c r="E85" s="94"/>
      <c r="F85" s="128"/>
      <c r="G85" s="94"/>
      <c r="H85" s="128"/>
      <c r="I85" s="217"/>
      <c r="J85" s="218"/>
      <c r="K85" s="219"/>
      <c r="L85" s="220"/>
    </row>
    <row r="86" spans="1:12" ht="17.45" customHeight="1" x14ac:dyDescent="0.25">
      <c r="A86" s="28"/>
      <c r="B86" s="29"/>
      <c r="C86" s="30" t="s">
        <v>55</v>
      </c>
      <c r="D86" s="127" t="s">
        <v>135</v>
      </c>
      <c r="E86" s="94">
        <v>696706</v>
      </c>
      <c r="F86" s="128">
        <v>0</v>
      </c>
      <c r="G86" s="94">
        <v>738706</v>
      </c>
      <c r="H86" s="128">
        <v>0</v>
      </c>
      <c r="I86" s="217">
        <v>301141</v>
      </c>
      <c r="J86" s="218">
        <v>0</v>
      </c>
      <c r="K86" s="219">
        <f t="shared" si="25"/>
        <v>40.766015167062406</v>
      </c>
      <c r="L86" s="220"/>
    </row>
    <row r="87" spans="1:12" ht="17.45" customHeight="1" x14ac:dyDescent="0.25">
      <c r="A87" s="28"/>
      <c r="B87" s="29"/>
      <c r="C87" s="30" t="s">
        <v>60</v>
      </c>
      <c r="D87" s="127" t="s">
        <v>136</v>
      </c>
      <c r="E87" s="94">
        <v>45000</v>
      </c>
      <c r="F87" s="128">
        <v>20000</v>
      </c>
      <c r="G87" s="94">
        <v>31720</v>
      </c>
      <c r="H87" s="128">
        <v>0</v>
      </c>
      <c r="I87" s="217">
        <v>8037</v>
      </c>
      <c r="J87" s="218">
        <v>0</v>
      </c>
      <c r="K87" s="219">
        <f t="shared" si="25"/>
        <v>25.337326607818412</v>
      </c>
      <c r="L87" s="220"/>
    </row>
    <row r="88" spans="1:12" ht="17.45" customHeight="1" x14ac:dyDescent="0.25">
      <c r="A88" s="28"/>
      <c r="B88" s="29"/>
      <c r="C88" s="30" t="s">
        <v>62</v>
      </c>
      <c r="D88" s="127" t="s">
        <v>137</v>
      </c>
      <c r="E88" s="94">
        <v>0</v>
      </c>
      <c r="F88" s="128">
        <v>10000</v>
      </c>
      <c r="G88" s="94">
        <v>0</v>
      </c>
      <c r="H88" s="128">
        <v>10000</v>
      </c>
      <c r="I88" s="217">
        <v>0</v>
      </c>
      <c r="J88" s="218">
        <v>0</v>
      </c>
      <c r="K88" s="219"/>
      <c r="L88" s="220">
        <f t="shared" si="26"/>
        <v>0</v>
      </c>
    </row>
    <row r="89" spans="1:12" ht="17.45" customHeight="1" x14ac:dyDescent="0.25">
      <c r="A89" s="28"/>
      <c r="B89" s="29"/>
      <c r="C89" s="30" t="s">
        <v>78</v>
      </c>
      <c r="D89" s="127" t="s">
        <v>138</v>
      </c>
      <c r="E89" s="94">
        <v>10000</v>
      </c>
      <c r="F89" s="128">
        <v>0</v>
      </c>
      <c r="G89" s="94">
        <v>10000</v>
      </c>
      <c r="H89" s="128">
        <v>0</v>
      </c>
      <c r="I89" s="217">
        <v>0</v>
      </c>
      <c r="J89" s="218">
        <v>0</v>
      </c>
      <c r="K89" s="219">
        <f t="shared" si="25"/>
        <v>0</v>
      </c>
      <c r="L89" s="220"/>
    </row>
    <row r="90" spans="1:12" ht="17.45" customHeight="1" x14ac:dyDescent="0.25">
      <c r="A90" s="28"/>
      <c r="B90" s="29">
        <v>4</v>
      </c>
      <c r="C90" s="30"/>
      <c r="D90" s="127" t="s">
        <v>139</v>
      </c>
      <c r="E90" s="94"/>
      <c r="F90" s="128"/>
      <c r="G90" s="94"/>
      <c r="H90" s="128"/>
      <c r="I90" s="217"/>
      <c r="J90" s="218"/>
      <c r="K90" s="219"/>
      <c r="L90" s="220"/>
    </row>
    <row r="91" spans="1:12" ht="17.45" customHeight="1" x14ac:dyDescent="0.25">
      <c r="A91" s="28"/>
      <c r="B91" s="29"/>
      <c r="C91" s="30" t="s">
        <v>55</v>
      </c>
      <c r="D91" s="127" t="s">
        <v>140</v>
      </c>
      <c r="E91" s="94">
        <v>138255</v>
      </c>
      <c r="F91" s="128">
        <v>70000</v>
      </c>
      <c r="G91" s="94">
        <v>11850</v>
      </c>
      <c r="H91" s="128">
        <v>63200</v>
      </c>
      <c r="I91" s="217">
        <v>2662</v>
      </c>
      <c r="J91" s="218">
        <v>38322</v>
      </c>
      <c r="K91" s="219">
        <f t="shared" si="25"/>
        <v>22.464135021097047</v>
      </c>
      <c r="L91" s="220">
        <f t="shared" si="26"/>
        <v>60.636075949367083</v>
      </c>
    </row>
    <row r="92" spans="1:12" ht="17.45" customHeight="1" x14ac:dyDescent="0.25">
      <c r="A92" s="28"/>
      <c r="B92" s="29"/>
      <c r="C92" s="30" t="s">
        <v>60</v>
      </c>
      <c r="D92" s="127" t="s">
        <v>141</v>
      </c>
      <c r="E92" s="94">
        <v>413450</v>
      </c>
      <c r="F92" s="128">
        <v>0</v>
      </c>
      <c r="G92" s="94">
        <v>391592</v>
      </c>
      <c r="H92" s="128">
        <v>91614</v>
      </c>
      <c r="I92" s="217">
        <v>352086</v>
      </c>
      <c r="J92" s="218">
        <v>89384</v>
      </c>
      <c r="K92" s="219">
        <f t="shared" si="25"/>
        <v>89.911438435923102</v>
      </c>
      <c r="L92" s="220">
        <f t="shared" si="26"/>
        <v>97.565874211365085</v>
      </c>
    </row>
    <row r="93" spans="1:12" ht="17.45" customHeight="1" x14ac:dyDescent="0.25">
      <c r="A93" s="33" t="s">
        <v>101</v>
      </c>
      <c r="B93" s="34"/>
      <c r="C93" s="35"/>
      <c r="D93" s="36" t="s">
        <v>142</v>
      </c>
      <c r="E93" s="64">
        <f t="shared" ref="E93:F93" si="27">SUM(E81:E92)</f>
        <v>2448251</v>
      </c>
      <c r="F93" s="65">
        <f t="shared" si="27"/>
        <v>100000</v>
      </c>
      <c r="G93" s="64">
        <f t="shared" ref="G93:H93" si="28">SUM(G81:G92)</f>
        <v>1430421</v>
      </c>
      <c r="H93" s="65">
        <f t="shared" si="28"/>
        <v>417414</v>
      </c>
      <c r="I93" s="64">
        <f t="shared" ref="I93:J93" si="29">SUM(I81:I92)</f>
        <v>732372</v>
      </c>
      <c r="J93" s="65">
        <f t="shared" si="29"/>
        <v>259034</v>
      </c>
      <c r="K93" s="91">
        <f t="shared" si="25"/>
        <v>51.199751681497965</v>
      </c>
      <c r="L93" s="92">
        <f t="shared" si="26"/>
        <v>62.056854825185546</v>
      </c>
    </row>
    <row r="94" spans="1:12" ht="17.45" customHeight="1" x14ac:dyDescent="0.25">
      <c r="A94" s="39" t="s">
        <v>103</v>
      </c>
      <c r="B94" s="40"/>
      <c r="C94" s="41"/>
      <c r="D94" s="130" t="s">
        <v>143</v>
      </c>
      <c r="E94" s="42"/>
      <c r="F94" s="43"/>
      <c r="G94" s="42"/>
      <c r="H94" s="43"/>
      <c r="I94" s="42"/>
      <c r="J94" s="43"/>
      <c r="K94" s="87"/>
      <c r="L94" s="88"/>
    </row>
    <row r="95" spans="1:12" ht="17.45" customHeight="1" x14ac:dyDescent="0.25">
      <c r="A95" s="28"/>
      <c r="B95" s="29">
        <v>1</v>
      </c>
      <c r="C95" s="30"/>
      <c r="D95" s="127" t="s">
        <v>144</v>
      </c>
      <c r="E95" s="94">
        <v>0</v>
      </c>
      <c r="F95" s="128">
        <v>42757</v>
      </c>
      <c r="G95" s="94">
        <v>0</v>
      </c>
      <c r="H95" s="128">
        <v>34757</v>
      </c>
      <c r="I95" s="217">
        <v>0</v>
      </c>
      <c r="J95" s="218">
        <v>34757</v>
      </c>
      <c r="K95" s="219"/>
      <c r="L95" s="220">
        <f t="shared" si="26"/>
        <v>100</v>
      </c>
    </row>
    <row r="96" spans="1:12" ht="17.45" customHeight="1" x14ac:dyDescent="0.25">
      <c r="A96" s="28"/>
      <c r="B96" s="29">
        <v>2</v>
      </c>
      <c r="C96" s="30"/>
      <c r="D96" s="127" t="s">
        <v>145</v>
      </c>
      <c r="E96" s="94"/>
      <c r="F96" s="128"/>
      <c r="G96" s="94"/>
      <c r="H96" s="128"/>
      <c r="I96" s="217"/>
      <c r="J96" s="218"/>
      <c r="K96" s="219"/>
      <c r="L96" s="220"/>
    </row>
    <row r="97" spans="1:12" ht="17.45" customHeight="1" x14ac:dyDescent="0.25">
      <c r="A97" s="28"/>
      <c r="B97" s="29"/>
      <c r="C97" s="30" t="s">
        <v>55</v>
      </c>
      <c r="D97" s="127" t="s">
        <v>146</v>
      </c>
      <c r="E97" s="94">
        <v>54608</v>
      </c>
      <c r="F97" s="128">
        <v>0</v>
      </c>
      <c r="G97" s="94">
        <v>54608</v>
      </c>
      <c r="H97" s="128">
        <v>0</v>
      </c>
      <c r="I97" s="217">
        <v>20844</v>
      </c>
      <c r="J97" s="218">
        <v>0</v>
      </c>
      <c r="K97" s="219">
        <f t="shared" si="25"/>
        <v>38.170231467916786</v>
      </c>
      <c r="L97" s="220"/>
    </row>
    <row r="98" spans="1:12" ht="17.45" customHeight="1" x14ac:dyDescent="0.25">
      <c r="A98" s="28"/>
      <c r="B98" s="29"/>
      <c r="C98" s="30" t="s">
        <v>60</v>
      </c>
      <c r="D98" s="127" t="s">
        <v>147</v>
      </c>
      <c r="E98" s="94">
        <v>6580</v>
      </c>
      <c r="F98" s="128">
        <v>0</v>
      </c>
      <c r="G98" s="94">
        <v>6580</v>
      </c>
      <c r="H98" s="128">
        <v>0</v>
      </c>
      <c r="I98" s="217">
        <v>2102</v>
      </c>
      <c r="J98" s="218">
        <v>0</v>
      </c>
      <c r="K98" s="219">
        <f t="shared" si="25"/>
        <v>31.945288753799396</v>
      </c>
      <c r="L98" s="220"/>
    </row>
    <row r="99" spans="1:12" ht="17.45" customHeight="1" x14ac:dyDescent="0.25">
      <c r="A99" s="28"/>
      <c r="B99" s="29"/>
      <c r="C99" s="30" t="s">
        <v>62</v>
      </c>
      <c r="D99" s="127" t="s">
        <v>148</v>
      </c>
      <c r="E99" s="94">
        <v>4948</v>
      </c>
      <c r="F99" s="128">
        <v>0</v>
      </c>
      <c r="G99" s="94">
        <v>4948</v>
      </c>
      <c r="H99" s="128">
        <v>0</v>
      </c>
      <c r="I99" s="217">
        <v>1054</v>
      </c>
      <c r="J99" s="218">
        <v>0</v>
      </c>
      <c r="K99" s="219">
        <f t="shared" si="25"/>
        <v>21.30153597413096</v>
      </c>
      <c r="L99" s="220"/>
    </row>
    <row r="100" spans="1:12" ht="17.45" customHeight="1" x14ac:dyDescent="0.25">
      <c r="A100" s="33" t="s">
        <v>103</v>
      </c>
      <c r="B100" s="34"/>
      <c r="C100" s="35"/>
      <c r="D100" s="36" t="s">
        <v>149</v>
      </c>
      <c r="E100" s="37">
        <f t="shared" ref="E100:F100" si="30">SUM(E95:E99)</f>
        <v>66136</v>
      </c>
      <c r="F100" s="38">
        <f t="shared" si="30"/>
        <v>42757</v>
      </c>
      <c r="G100" s="37">
        <f t="shared" ref="G100:H100" si="31">SUM(G95:G99)</f>
        <v>66136</v>
      </c>
      <c r="H100" s="38">
        <f t="shared" si="31"/>
        <v>34757</v>
      </c>
      <c r="I100" s="37">
        <f t="shared" ref="I100:J100" si="32">SUM(I95:I99)</f>
        <v>24000</v>
      </c>
      <c r="J100" s="38">
        <f t="shared" si="32"/>
        <v>34757</v>
      </c>
      <c r="K100" s="85">
        <f t="shared" si="25"/>
        <v>36.288859320188706</v>
      </c>
      <c r="L100" s="86">
        <f t="shared" si="26"/>
        <v>100</v>
      </c>
    </row>
    <row r="101" spans="1:12" s="31" customFormat="1" ht="17.45" customHeight="1" x14ac:dyDescent="0.25">
      <c r="A101" s="39" t="s">
        <v>105</v>
      </c>
      <c r="B101" s="40"/>
      <c r="C101" s="41"/>
      <c r="D101" s="130" t="s">
        <v>150</v>
      </c>
      <c r="E101" s="42"/>
      <c r="F101" s="43"/>
      <c r="G101" s="42"/>
      <c r="H101" s="43"/>
      <c r="I101" s="42"/>
      <c r="J101" s="43"/>
      <c r="K101" s="87"/>
      <c r="L101" s="88"/>
    </row>
    <row r="102" spans="1:12" s="31" customFormat="1" ht="17.45" customHeight="1" x14ac:dyDescent="0.25">
      <c r="A102" s="28"/>
      <c r="B102" s="29">
        <v>1</v>
      </c>
      <c r="C102" s="30"/>
      <c r="D102" s="127" t="s">
        <v>151</v>
      </c>
      <c r="E102" s="94">
        <v>465620</v>
      </c>
      <c r="F102" s="128">
        <v>0</v>
      </c>
      <c r="G102" s="94">
        <v>465620</v>
      </c>
      <c r="H102" s="128">
        <v>0</v>
      </c>
      <c r="I102" s="217">
        <v>167331</v>
      </c>
      <c r="J102" s="218">
        <v>0</v>
      </c>
      <c r="K102" s="219">
        <f t="shared" si="25"/>
        <v>35.937244963704309</v>
      </c>
      <c r="L102" s="220"/>
    </row>
    <row r="103" spans="1:12" ht="17.45" customHeight="1" x14ac:dyDescent="0.25">
      <c r="A103" s="28"/>
      <c r="B103" s="29">
        <v>2</v>
      </c>
      <c r="C103" s="30"/>
      <c r="D103" s="127" t="s">
        <v>152</v>
      </c>
      <c r="E103" s="94">
        <v>180850</v>
      </c>
      <c r="F103" s="128">
        <v>0</v>
      </c>
      <c r="G103" s="94">
        <v>180850</v>
      </c>
      <c r="H103" s="128">
        <v>0</v>
      </c>
      <c r="I103" s="217">
        <v>61516</v>
      </c>
      <c r="J103" s="218">
        <v>0</v>
      </c>
      <c r="K103" s="219">
        <f t="shared" si="25"/>
        <v>34.014929499585293</v>
      </c>
      <c r="L103" s="220"/>
    </row>
    <row r="104" spans="1:12" ht="17.45" customHeight="1" x14ac:dyDescent="0.25">
      <c r="A104" s="28"/>
      <c r="B104" s="29">
        <v>3</v>
      </c>
      <c r="C104" s="30"/>
      <c r="D104" s="127" t="s">
        <v>153</v>
      </c>
      <c r="E104" s="94">
        <v>205303</v>
      </c>
      <c r="F104" s="128">
        <v>404651</v>
      </c>
      <c r="G104" s="94">
        <v>207763</v>
      </c>
      <c r="H104" s="128">
        <v>359651</v>
      </c>
      <c r="I104" s="217">
        <v>87945</v>
      </c>
      <c r="J104" s="218">
        <v>4000</v>
      </c>
      <c r="K104" s="219">
        <f t="shared" si="25"/>
        <v>42.32948118769945</v>
      </c>
      <c r="L104" s="220">
        <f t="shared" si="26"/>
        <v>1.1121893168655168</v>
      </c>
    </row>
    <row r="105" spans="1:12" ht="17.45" customHeight="1" x14ac:dyDescent="0.25">
      <c r="A105" s="33" t="s">
        <v>105</v>
      </c>
      <c r="B105" s="34"/>
      <c r="C105" s="35"/>
      <c r="D105" s="36" t="s">
        <v>154</v>
      </c>
      <c r="E105" s="37">
        <f t="shared" ref="E105:F105" si="33">SUM(E102:E104)</f>
        <v>851773</v>
      </c>
      <c r="F105" s="38">
        <f t="shared" si="33"/>
        <v>404651</v>
      </c>
      <c r="G105" s="37">
        <f t="shared" ref="G105:H105" si="34">SUM(G102:G104)</f>
        <v>854233</v>
      </c>
      <c r="H105" s="38">
        <f t="shared" si="34"/>
        <v>359651</v>
      </c>
      <c r="I105" s="37">
        <f t="shared" ref="I105:J105" si="35">SUM(I102:I104)</f>
        <v>316792</v>
      </c>
      <c r="J105" s="38">
        <f t="shared" si="35"/>
        <v>4000</v>
      </c>
      <c r="K105" s="85">
        <f t="shared" si="25"/>
        <v>37.084963938410247</v>
      </c>
      <c r="L105" s="86">
        <f t="shared" si="26"/>
        <v>1.1121893168655168</v>
      </c>
    </row>
    <row r="106" spans="1:12" ht="17.45" customHeight="1" x14ac:dyDescent="0.25">
      <c r="A106" s="39" t="s">
        <v>107</v>
      </c>
      <c r="B106" s="40"/>
      <c r="C106" s="41"/>
      <c r="D106" s="130" t="s">
        <v>155</v>
      </c>
      <c r="E106" s="42"/>
      <c r="F106" s="43"/>
      <c r="G106" s="42"/>
      <c r="H106" s="43"/>
      <c r="I106" s="42"/>
      <c r="J106" s="43"/>
      <c r="K106" s="87"/>
      <c r="L106" s="88"/>
    </row>
    <row r="107" spans="1:12" ht="17.45" customHeight="1" x14ac:dyDescent="0.25">
      <c r="A107" s="28"/>
      <c r="B107" s="29">
        <v>1</v>
      </c>
      <c r="C107" s="30"/>
      <c r="D107" s="127" t="s">
        <v>156</v>
      </c>
      <c r="E107" s="94">
        <v>112400</v>
      </c>
      <c r="F107" s="128">
        <v>0</v>
      </c>
      <c r="G107" s="94">
        <v>112400</v>
      </c>
      <c r="H107" s="128">
        <v>0</v>
      </c>
      <c r="I107" s="217">
        <v>23850</v>
      </c>
      <c r="J107" s="218">
        <v>0</v>
      </c>
      <c r="K107" s="219">
        <f t="shared" si="25"/>
        <v>21.218861209964412</v>
      </c>
      <c r="L107" s="220"/>
    </row>
    <row r="108" spans="1:12" ht="17.45" customHeight="1" x14ac:dyDescent="0.25">
      <c r="A108" s="28"/>
      <c r="B108" s="29">
        <v>2</v>
      </c>
      <c r="C108" s="30"/>
      <c r="D108" s="127" t="s">
        <v>157</v>
      </c>
      <c r="E108" s="94">
        <v>44600</v>
      </c>
      <c r="F108" s="128">
        <v>0</v>
      </c>
      <c r="G108" s="94">
        <v>44600</v>
      </c>
      <c r="H108" s="128">
        <v>0</v>
      </c>
      <c r="I108" s="217">
        <v>9270</v>
      </c>
      <c r="J108" s="218">
        <v>0</v>
      </c>
      <c r="K108" s="219">
        <f t="shared" si="25"/>
        <v>20.784753363228699</v>
      </c>
      <c r="L108" s="220"/>
    </row>
    <row r="109" spans="1:12" ht="17.45" customHeight="1" x14ac:dyDescent="0.25">
      <c r="A109" s="28"/>
      <c r="B109" s="29">
        <v>3</v>
      </c>
      <c r="C109" s="30"/>
      <c r="D109" s="127" t="s">
        <v>158</v>
      </c>
      <c r="E109" s="94">
        <v>44100</v>
      </c>
      <c r="F109" s="128">
        <v>0</v>
      </c>
      <c r="G109" s="94">
        <v>44100</v>
      </c>
      <c r="H109" s="128">
        <v>0</v>
      </c>
      <c r="I109" s="217">
        <v>6096</v>
      </c>
      <c r="J109" s="218">
        <v>0</v>
      </c>
      <c r="K109" s="219">
        <f t="shared" si="25"/>
        <v>13.82312925170068</v>
      </c>
      <c r="L109" s="220"/>
    </row>
    <row r="110" spans="1:12" ht="17.45" customHeight="1" x14ac:dyDescent="0.25">
      <c r="A110" s="28"/>
      <c r="B110" s="29">
        <v>4</v>
      </c>
      <c r="C110" s="30"/>
      <c r="D110" s="127" t="s">
        <v>159</v>
      </c>
      <c r="E110" s="94">
        <v>11000</v>
      </c>
      <c r="F110" s="128">
        <v>0</v>
      </c>
      <c r="G110" s="94">
        <v>11000</v>
      </c>
      <c r="H110" s="128">
        <v>0</v>
      </c>
      <c r="I110" s="217">
        <v>3235</v>
      </c>
      <c r="J110" s="218">
        <v>0</v>
      </c>
      <c r="K110" s="219">
        <f t="shared" si="25"/>
        <v>29.409090909090907</v>
      </c>
      <c r="L110" s="220"/>
    </row>
    <row r="111" spans="1:12" ht="17.45" customHeight="1" thickBot="1" x14ac:dyDescent="0.3">
      <c r="A111" s="28"/>
      <c r="B111" s="29">
        <v>5</v>
      </c>
      <c r="C111" s="30"/>
      <c r="D111" s="141" t="s">
        <v>160</v>
      </c>
      <c r="E111" s="142">
        <v>110500</v>
      </c>
      <c r="F111" s="143">
        <v>0</v>
      </c>
      <c r="G111" s="142">
        <v>110500</v>
      </c>
      <c r="H111" s="143">
        <v>0</v>
      </c>
      <c r="I111" s="225">
        <v>311060</v>
      </c>
      <c r="J111" s="226">
        <v>0</v>
      </c>
      <c r="K111" s="227">
        <f t="shared" si="25"/>
        <v>281.50226244343889</v>
      </c>
      <c r="L111" s="228"/>
    </row>
    <row r="112" spans="1:12" s="31" customFormat="1" ht="17.45" customHeight="1" x14ac:dyDescent="0.25">
      <c r="A112" s="144"/>
      <c r="B112" s="145"/>
      <c r="C112" s="144"/>
      <c r="D112" s="146"/>
      <c r="E112" s="129"/>
      <c r="F112" s="129"/>
      <c r="G112" s="129"/>
      <c r="H112" s="129"/>
      <c r="I112" s="129"/>
      <c r="J112" s="129"/>
      <c r="K112" s="129"/>
      <c r="L112" s="129"/>
    </row>
    <row r="113" spans="1:12" s="31" customFormat="1" ht="17.45" customHeight="1" x14ac:dyDescent="0.25">
      <c r="A113" s="144"/>
      <c r="B113" s="145"/>
      <c r="C113" s="144"/>
      <c r="D113" s="146"/>
      <c r="E113" s="129"/>
      <c r="F113" s="129"/>
      <c r="G113" s="129"/>
      <c r="H113" s="129"/>
      <c r="I113" s="129"/>
      <c r="J113" s="129"/>
      <c r="K113" s="129"/>
      <c r="L113" s="129"/>
    </row>
    <row r="114" spans="1:12" s="55" customFormat="1" ht="33.75" customHeight="1" x14ac:dyDescent="0.35">
      <c r="A114" s="446" t="s">
        <v>250</v>
      </c>
      <c r="B114" s="446"/>
      <c r="C114" s="446"/>
      <c r="D114" s="446"/>
      <c r="E114" s="446"/>
      <c r="F114" s="446"/>
      <c r="G114" s="446"/>
      <c r="H114" s="446"/>
      <c r="I114" s="446"/>
      <c r="J114" s="446"/>
      <c r="K114" s="446"/>
      <c r="L114" s="446"/>
    </row>
    <row r="115" spans="1:12" s="55" customFormat="1" ht="30" customHeight="1" thickBot="1" x14ac:dyDescent="0.3">
      <c r="A115" s="51"/>
      <c r="B115" s="52"/>
      <c r="C115" s="51"/>
      <c r="D115" s="53"/>
      <c r="E115" s="56"/>
      <c r="F115" s="56"/>
      <c r="G115" s="56"/>
      <c r="I115" s="56"/>
      <c r="J115" s="22"/>
      <c r="K115" s="56"/>
      <c r="L115" s="22" t="s">
        <v>161</v>
      </c>
    </row>
    <row r="116" spans="1:12" ht="36.75" customHeight="1" thickBot="1" x14ac:dyDescent="0.25">
      <c r="A116" s="449" t="s">
        <v>51</v>
      </c>
      <c r="B116" s="450"/>
      <c r="C116" s="451"/>
      <c r="D116" s="455" t="s">
        <v>52</v>
      </c>
      <c r="E116" s="447" t="s">
        <v>231</v>
      </c>
      <c r="F116" s="448"/>
      <c r="G116" s="447" t="s">
        <v>249</v>
      </c>
      <c r="H116" s="448"/>
      <c r="I116" s="447" t="s">
        <v>245</v>
      </c>
      <c r="J116" s="448"/>
      <c r="K116" s="447" t="s">
        <v>223</v>
      </c>
      <c r="L116" s="448"/>
    </row>
    <row r="117" spans="1:12" ht="33.75" customHeight="1" thickBot="1" x14ac:dyDescent="0.25">
      <c r="A117" s="452"/>
      <c r="B117" s="453"/>
      <c r="C117" s="454"/>
      <c r="D117" s="456"/>
      <c r="E117" s="124" t="s">
        <v>53</v>
      </c>
      <c r="F117" s="125" t="s">
        <v>54</v>
      </c>
      <c r="G117" s="124" t="s">
        <v>53</v>
      </c>
      <c r="H117" s="125" t="s">
        <v>54</v>
      </c>
      <c r="I117" s="124" t="s">
        <v>53</v>
      </c>
      <c r="J117" s="125" t="s">
        <v>54</v>
      </c>
      <c r="K117" s="124" t="s">
        <v>53</v>
      </c>
      <c r="L117" s="125" t="s">
        <v>54</v>
      </c>
    </row>
    <row r="118" spans="1:12" s="31" customFormat="1" ht="17.45" customHeight="1" x14ac:dyDescent="0.25">
      <c r="A118" s="66"/>
      <c r="B118" s="67">
        <v>6</v>
      </c>
      <c r="C118" s="68"/>
      <c r="D118" s="147" t="s">
        <v>162</v>
      </c>
      <c r="E118" s="93"/>
      <c r="F118" s="148"/>
      <c r="G118" s="93"/>
      <c r="H118" s="148"/>
      <c r="I118" s="229"/>
      <c r="J118" s="230"/>
      <c r="K118" s="229"/>
      <c r="L118" s="230"/>
    </row>
    <row r="119" spans="1:12" ht="17.45" customHeight="1" x14ac:dyDescent="0.25">
      <c r="A119" s="28"/>
      <c r="B119" s="29"/>
      <c r="C119" s="30" t="s">
        <v>55</v>
      </c>
      <c r="D119" s="127" t="s">
        <v>163</v>
      </c>
      <c r="E119" s="94">
        <v>1454701</v>
      </c>
      <c r="F119" s="128">
        <v>0</v>
      </c>
      <c r="G119" s="94">
        <v>1461259</v>
      </c>
      <c r="H119" s="128">
        <v>0</v>
      </c>
      <c r="I119" s="217">
        <v>534963</v>
      </c>
      <c r="J119" s="218">
        <v>0</v>
      </c>
      <c r="K119" s="219">
        <f t="shared" ref="K119:K129" si="36">I119/G119*100</f>
        <v>36.609731745022614</v>
      </c>
      <c r="L119" s="220"/>
    </row>
    <row r="120" spans="1:12" s="44" customFormat="1" ht="17.45" customHeight="1" x14ac:dyDescent="0.25">
      <c r="A120" s="28"/>
      <c r="B120" s="29"/>
      <c r="C120" s="30" t="s">
        <v>60</v>
      </c>
      <c r="D120" s="127" t="s">
        <v>164</v>
      </c>
      <c r="E120" s="94">
        <v>189792</v>
      </c>
      <c r="F120" s="128">
        <v>14000</v>
      </c>
      <c r="G120" s="94">
        <v>189792</v>
      </c>
      <c r="H120" s="128">
        <v>14000</v>
      </c>
      <c r="I120" s="217">
        <v>77910</v>
      </c>
      <c r="J120" s="218">
        <v>0</v>
      </c>
      <c r="K120" s="219">
        <f t="shared" si="36"/>
        <v>41.050202326757713</v>
      </c>
      <c r="L120" s="220">
        <f t="shared" ref="L120:L129" si="37">J120/H120*100</f>
        <v>0</v>
      </c>
    </row>
    <row r="121" spans="1:12" ht="17.45" customHeight="1" x14ac:dyDescent="0.25">
      <c r="A121" s="28"/>
      <c r="B121" s="29">
        <v>7</v>
      </c>
      <c r="C121" s="30"/>
      <c r="D121" s="127" t="s">
        <v>165</v>
      </c>
      <c r="E121" s="94">
        <v>25000</v>
      </c>
      <c r="F121" s="128">
        <v>0</v>
      </c>
      <c r="G121" s="94">
        <v>25000</v>
      </c>
      <c r="H121" s="128">
        <v>0</v>
      </c>
      <c r="I121" s="217">
        <v>2044</v>
      </c>
      <c r="J121" s="218">
        <v>0</v>
      </c>
      <c r="K121" s="219">
        <f t="shared" si="36"/>
        <v>8.1760000000000002</v>
      </c>
      <c r="L121" s="220"/>
    </row>
    <row r="122" spans="1:12" ht="17.45" customHeight="1" x14ac:dyDescent="0.25">
      <c r="A122" s="33" t="s">
        <v>107</v>
      </c>
      <c r="B122" s="34"/>
      <c r="C122" s="35"/>
      <c r="D122" s="36" t="s">
        <v>166</v>
      </c>
      <c r="E122" s="37">
        <f t="shared" ref="E122:F122" si="38">SUM(E107+E108+E109+E110+E111+E119+E120+E121)</f>
        <v>1992093</v>
      </c>
      <c r="F122" s="38">
        <f t="shared" si="38"/>
        <v>14000</v>
      </c>
      <c r="G122" s="37">
        <f t="shared" ref="G122:H122" si="39">SUM(G107+G108+G109+G110+G111+G119+G120+G121)</f>
        <v>1998651</v>
      </c>
      <c r="H122" s="38">
        <f t="shared" si="39"/>
        <v>14000</v>
      </c>
      <c r="I122" s="37">
        <f t="shared" ref="I122:J122" si="40">SUM(I107+I108+I109+I110+I111+I119+I120+I121)</f>
        <v>968428</v>
      </c>
      <c r="J122" s="38">
        <f t="shared" si="40"/>
        <v>0</v>
      </c>
      <c r="K122" s="85">
        <f t="shared" si="36"/>
        <v>48.454082278496848</v>
      </c>
      <c r="L122" s="86">
        <f t="shared" si="37"/>
        <v>0</v>
      </c>
    </row>
    <row r="123" spans="1:12" ht="17.45" customHeight="1" x14ac:dyDescent="0.25">
      <c r="A123" s="39" t="s">
        <v>109</v>
      </c>
      <c r="B123" s="40"/>
      <c r="C123" s="41"/>
      <c r="D123" s="130" t="s">
        <v>167</v>
      </c>
      <c r="E123" s="42"/>
      <c r="F123" s="43"/>
      <c r="G123" s="42"/>
      <c r="H123" s="43"/>
      <c r="I123" s="42"/>
      <c r="J123" s="43"/>
      <c r="K123" s="87"/>
      <c r="L123" s="88"/>
    </row>
    <row r="124" spans="1:12" ht="17.45" customHeight="1" x14ac:dyDescent="0.25">
      <c r="A124" s="28"/>
      <c r="B124" s="29">
        <v>1</v>
      </c>
      <c r="C124" s="30"/>
      <c r="D124" s="127" t="s">
        <v>168</v>
      </c>
      <c r="E124" s="94">
        <v>87200</v>
      </c>
      <c r="F124" s="128">
        <v>0</v>
      </c>
      <c r="G124" s="94">
        <v>87200</v>
      </c>
      <c r="H124" s="128">
        <v>0</v>
      </c>
      <c r="I124" s="217">
        <v>10809</v>
      </c>
      <c r="J124" s="218"/>
      <c r="K124" s="219">
        <f t="shared" si="36"/>
        <v>12.395642201834862</v>
      </c>
      <c r="L124" s="220"/>
    </row>
    <row r="125" spans="1:12" ht="17.45" customHeight="1" x14ac:dyDescent="0.25">
      <c r="A125" s="28"/>
      <c r="B125" s="29">
        <v>2</v>
      </c>
      <c r="C125" s="30"/>
      <c r="D125" s="127" t="s">
        <v>169</v>
      </c>
      <c r="E125" s="94">
        <v>43850</v>
      </c>
      <c r="F125" s="128">
        <v>20000</v>
      </c>
      <c r="G125" s="94">
        <v>43850</v>
      </c>
      <c r="H125" s="128">
        <v>120000</v>
      </c>
      <c r="I125" s="217">
        <v>16464</v>
      </c>
      <c r="J125" s="218"/>
      <c r="K125" s="219">
        <f t="shared" si="36"/>
        <v>37.546180159635121</v>
      </c>
      <c r="L125" s="220">
        <f t="shared" si="37"/>
        <v>0</v>
      </c>
    </row>
    <row r="126" spans="1:12" ht="17.45" customHeight="1" x14ac:dyDescent="0.25">
      <c r="A126" s="28"/>
      <c r="B126" s="29"/>
      <c r="C126" s="30"/>
      <c r="D126" s="149"/>
      <c r="E126" s="94"/>
      <c r="F126" s="128"/>
      <c r="G126" s="94"/>
      <c r="H126" s="128"/>
      <c r="I126" s="217"/>
      <c r="J126" s="218"/>
      <c r="K126" s="219"/>
      <c r="L126" s="220"/>
    </row>
    <row r="127" spans="1:12" ht="17.45" customHeight="1" x14ac:dyDescent="0.25">
      <c r="A127" s="33" t="s">
        <v>109</v>
      </c>
      <c r="B127" s="34"/>
      <c r="C127" s="35"/>
      <c r="D127" s="36" t="s">
        <v>170</v>
      </c>
      <c r="E127" s="37">
        <f t="shared" ref="E127:F127" si="41">SUM(E124:E126)</f>
        <v>131050</v>
      </c>
      <c r="F127" s="38">
        <f t="shared" si="41"/>
        <v>20000</v>
      </c>
      <c r="G127" s="37">
        <f t="shared" ref="G127:H127" si="42">SUM(G124:G126)</f>
        <v>131050</v>
      </c>
      <c r="H127" s="38">
        <f t="shared" si="42"/>
        <v>120000</v>
      </c>
      <c r="I127" s="37">
        <f t="shared" ref="I127:J127" si="43">SUM(I124:I126)</f>
        <v>27273</v>
      </c>
      <c r="J127" s="38">
        <f t="shared" si="43"/>
        <v>0</v>
      </c>
      <c r="K127" s="85">
        <f t="shared" si="36"/>
        <v>20.811140785959559</v>
      </c>
      <c r="L127" s="86">
        <f t="shared" si="37"/>
        <v>0</v>
      </c>
    </row>
    <row r="128" spans="1:12" ht="17.45" customHeight="1" x14ac:dyDescent="0.25">
      <c r="A128" s="150"/>
      <c r="B128" s="151"/>
      <c r="C128" s="152"/>
      <c r="D128" s="153"/>
      <c r="E128" s="154"/>
      <c r="F128" s="155"/>
      <c r="G128" s="154"/>
      <c r="H128" s="155"/>
      <c r="I128" s="231"/>
      <c r="J128" s="232"/>
      <c r="K128" s="233"/>
      <c r="L128" s="234"/>
    </row>
    <row r="129" spans="1:12" ht="24.75" customHeight="1" thickBot="1" x14ac:dyDescent="0.3">
      <c r="A129" s="457" t="s">
        <v>171</v>
      </c>
      <c r="B129" s="458"/>
      <c r="C129" s="458"/>
      <c r="D129" s="459"/>
      <c r="E129" s="49">
        <f t="shared" ref="E129:F129" si="44">SUM(E16+E20+E26+E34+E66+E74+E93+E100+E105+E122+E127)</f>
        <v>40429495</v>
      </c>
      <c r="F129" s="50">
        <f t="shared" si="44"/>
        <v>2485392</v>
      </c>
      <c r="G129" s="49">
        <f t="shared" ref="G129:H129" si="45">SUM(G16+G20+G26+G34+G66+G74+G93+G100+G105+G122+G127)</f>
        <v>41326232</v>
      </c>
      <c r="H129" s="50">
        <f t="shared" si="45"/>
        <v>3112104</v>
      </c>
      <c r="I129" s="49">
        <f t="shared" ref="I129:J129" si="46">SUM(I16+I20+I26+I34+I66+I74+I93+I100+I105+I122+I127)</f>
        <v>16443616</v>
      </c>
      <c r="J129" s="50">
        <f t="shared" si="46"/>
        <v>390133</v>
      </c>
      <c r="K129" s="89">
        <f t="shared" si="36"/>
        <v>39.789778076065588</v>
      </c>
      <c r="L129" s="90">
        <f t="shared" si="37"/>
        <v>12.53598851452265</v>
      </c>
    </row>
    <row r="130" spans="1:12" ht="18" customHeight="1" x14ac:dyDescent="0.2">
      <c r="E130" s="69"/>
      <c r="F130" s="156"/>
      <c r="G130" s="156"/>
      <c r="H130" s="69"/>
      <c r="I130" s="156"/>
      <c r="J130" s="69"/>
      <c r="K130" s="156"/>
      <c r="L130" s="69"/>
    </row>
    <row r="131" spans="1:12" ht="17.45" customHeight="1" thickBot="1" x14ac:dyDescent="0.25">
      <c r="E131" s="69"/>
      <c r="F131" s="156"/>
      <c r="G131" s="156"/>
      <c r="H131" s="69"/>
      <c r="I131" s="156"/>
      <c r="J131" s="69"/>
      <c r="K131" s="156"/>
      <c r="L131" s="69"/>
    </row>
    <row r="132" spans="1:12" ht="36" customHeight="1" thickBot="1" x14ac:dyDescent="0.25">
      <c r="A132" s="460" t="s">
        <v>172</v>
      </c>
      <c r="B132" s="461"/>
      <c r="C132" s="461"/>
      <c r="D132" s="462"/>
      <c r="E132" s="447" t="s">
        <v>231</v>
      </c>
      <c r="F132" s="448"/>
      <c r="G132" s="447" t="s">
        <v>249</v>
      </c>
      <c r="H132" s="448"/>
      <c r="I132" s="447" t="s">
        <v>245</v>
      </c>
      <c r="J132" s="448"/>
      <c r="K132" s="447" t="s">
        <v>223</v>
      </c>
      <c r="L132" s="448"/>
    </row>
    <row r="133" spans="1:12" ht="17.45" customHeight="1" x14ac:dyDescent="0.25">
      <c r="A133" s="70">
        <v>4</v>
      </c>
      <c r="B133" s="71">
        <v>1</v>
      </c>
      <c r="C133" s="72">
        <v>1</v>
      </c>
      <c r="D133" s="157" t="s">
        <v>173</v>
      </c>
      <c r="E133" s="468">
        <v>35000</v>
      </c>
      <c r="F133" s="469"/>
      <c r="G133" s="468">
        <v>35000</v>
      </c>
      <c r="H133" s="469"/>
      <c r="I133" s="490">
        <v>17072</v>
      </c>
      <c r="J133" s="491"/>
      <c r="K133" s="492">
        <f>I133/G133*100</f>
        <v>48.777142857142856</v>
      </c>
      <c r="L133" s="493"/>
    </row>
    <row r="134" spans="1:12" ht="17.45" customHeight="1" x14ac:dyDescent="0.25">
      <c r="A134" s="70">
        <v>5</v>
      </c>
      <c r="B134" s="71">
        <v>3</v>
      </c>
      <c r="C134" s="72">
        <v>1</v>
      </c>
      <c r="D134" s="157" t="s">
        <v>173</v>
      </c>
      <c r="E134" s="496">
        <v>972618</v>
      </c>
      <c r="F134" s="497"/>
      <c r="G134" s="496">
        <v>972618</v>
      </c>
      <c r="H134" s="497"/>
      <c r="I134" s="494">
        <v>490297</v>
      </c>
      <c r="J134" s="495"/>
      <c r="K134" s="484">
        <f t="shared" ref="K134:K138" si="47">I134/G134*100</f>
        <v>50.41002736942972</v>
      </c>
      <c r="L134" s="485"/>
    </row>
    <row r="135" spans="1:12" ht="17.45" customHeight="1" x14ac:dyDescent="0.25">
      <c r="A135" s="70">
        <v>7</v>
      </c>
      <c r="B135" s="71">
        <v>1</v>
      </c>
      <c r="C135" s="72"/>
      <c r="D135" s="157" t="s">
        <v>174</v>
      </c>
      <c r="E135" s="473">
        <v>39000</v>
      </c>
      <c r="F135" s="474"/>
      <c r="G135" s="473">
        <v>65565</v>
      </c>
      <c r="H135" s="474"/>
      <c r="I135" s="482">
        <v>38329</v>
      </c>
      <c r="J135" s="483"/>
      <c r="K135" s="486">
        <f t="shared" si="47"/>
        <v>58.459543964005192</v>
      </c>
      <c r="L135" s="487"/>
    </row>
    <row r="136" spans="1:12" ht="17.45" customHeight="1" x14ac:dyDescent="0.25">
      <c r="A136" s="70">
        <v>9</v>
      </c>
      <c r="B136" s="71">
        <v>3</v>
      </c>
      <c r="C136" s="72"/>
      <c r="D136" s="157" t="s">
        <v>174</v>
      </c>
      <c r="E136" s="473">
        <v>4314</v>
      </c>
      <c r="F136" s="474"/>
      <c r="G136" s="473">
        <v>4314</v>
      </c>
      <c r="H136" s="474"/>
      <c r="I136" s="482">
        <v>2124</v>
      </c>
      <c r="J136" s="483"/>
      <c r="K136" s="486">
        <f t="shared" si="47"/>
        <v>49.235048678720446</v>
      </c>
      <c r="L136" s="487"/>
    </row>
    <row r="137" spans="1:12" ht="17.45" customHeight="1" x14ac:dyDescent="0.25">
      <c r="A137" s="70"/>
      <c r="B137" s="71"/>
      <c r="C137" s="72"/>
      <c r="D137" s="157" t="s">
        <v>227</v>
      </c>
      <c r="E137" s="473"/>
      <c r="F137" s="474"/>
      <c r="G137" s="473"/>
      <c r="H137" s="474"/>
      <c r="I137" s="482">
        <v>178</v>
      </c>
      <c r="J137" s="483"/>
      <c r="K137" s="486"/>
      <c r="L137" s="487"/>
    </row>
    <row r="138" spans="1:12" ht="24.95" customHeight="1" thickBot="1" x14ac:dyDescent="0.3">
      <c r="A138" s="465" t="s">
        <v>171</v>
      </c>
      <c r="B138" s="466"/>
      <c r="C138" s="466"/>
      <c r="D138" s="467"/>
      <c r="E138" s="463">
        <f>SUM(E133:E137)</f>
        <v>1050932</v>
      </c>
      <c r="F138" s="464"/>
      <c r="G138" s="463">
        <f>SUM(G133:G137)</f>
        <v>1077497</v>
      </c>
      <c r="H138" s="464"/>
      <c r="I138" s="463">
        <f>SUM(I133:I137)</f>
        <v>548000</v>
      </c>
      <c r="J138" s="464"/>
      <c r="K138" s="488">
        <f t="shared" si="47"/>
        <v>50.85861027919335</v>
      </c>
      <c r="L138" s="489"/>
    </row>
    <row r="139" spans="1:12" s="31" customFormat="1" ht="18.600000000000001" customHeight="1" x14ac:dyDescent="0.25">
      <c r="A139" s="158"/>
      <c r="B139" s="158"/>
      <c r="C139" s="158"/>
      <c r="D139" s="158"/>
      <c r="E139" s="74"/>
      <c r="F139" s="74"/>
      <c r="G139" s="74"/>
      <c r="H139" s="74"/>
      <c r="I139" s="74"/>
      <c r="J139" s="74"/>
      <c r="K139" s="74"/>
      <c r="L139" s="74"/>
    </row>
    <row r="140" spans="1:12" s="31" customFormat="1" ht="18.600000000000001" customHeight="1" x14ac:dyDescent="0.25">
      <c r="A140" s="158"/>
      <c r="B140" s="158"/>
      <c r="C140" s="158"/>
      <c r="D140" s="158"/>
      <c r="E140" s="74"/>
      <c r="F140" s="74"/>
      <c r="G140" s="74"/>
      <c r="H140" s="74"/>
      <c r="I140" s="74"/>
      <c r="J140" s="74"/>
      <c r="K140" s="74"/>
      <c r="L140" s="74"/>
    </row>
    <row r="141" spans="1:12" ht="14.45" customHeight="1" thickBot="1" x14ac:dyDescent="0.25">
      <c r="E141" s="73"/>
      <c r="F141" s="73"/>
      <c r="G141" s="73"/>
      <c r="H141" s="73"/>
      <c r="I141" s="73"/>
      <c r="J141" s="73"/>
      <c r="K141" s="73"/>
      <c r="L141" s="73"/>
    </row>
    <row r="142" spans="1:12" ht="35.25" customHeight="1" thickBot="1" x14ac:dyDescent="0.25">
      <c r="A142" s="460" t="s">
        <v>175</v>
      </c>
      <c r="B142" s="461"/>
      <c r="C142" s="461"/>
      <c r="D142" s="462"/>
      <c r="E142" s="447" t="s">
        <v>231</v>
      </c>
      <c r="F142" s="448"/>
      <c r="G142" s="447" t="s">
        <v>249</v>
      </c>
      <c r="H142" s="448"/>
      <c r="I142" s="447" t="s">
        <v>245</v>
      </c>
      <c r="J142" s="448"/>
      <c r="K142" s="447" t="s">
        <v>223</v>
      </c>
      <c r="L142" s="448"/>
    </row>
    <row r="143" spans="1:12" ht="20.100000000000001" customHeight="1" x14ac:dyDescent="0.2">
      <c r="A143" s="475" t="s">
        <v>53</v>
      </c>
      <c r="B143" s="476"/>
      <c r="C143" s="476"/>
      <c r="D143" s="477"/>
      <c r="E143" s="468">
        <f>SUM(E129)</f>
        <v>40429495</v>
      </c>
      <c r="F143" s="469" t="e">
        <f>SUM(#REF!+#REF!)</f>
        <v>#REF!</v>
      </c>
      <c r="G143" s="468">
        <f>SUM(G129)</f>
        <v>41326232</v>
      </c>
      <c r="H143" s="469" t="e">
        <f>SUM(#REF!+#REF!)</f>
        <v>#REF!</v>
      </c>
      <c r="I143" s="490">
        <f>SUM(I129)</f>
        <v>16443616</v>
      </c>
      <c r="J143" s="491" t="e">
        <f>SUM(#REF!+#REF!)</f>
        <v>#REF!</v>
      </c>
      <c r="K143" s="492">
        <f t="shared" ref="K143:K146" si="48">I143/G143*100</f>
        <v>39.789778076065588</v>
      </c>
      <c r="L143" s="493"/>
    </row>
    <row r="144" spans="1:12" ht="20.100000000000001" customHeight="1" x14ac:dyDescent="0.2">
      <c r="A144" s="470" t="s">
        <v>176</v>
      </c>
      <c r="B144" s="471"/>
      <c r="C144" s="471"/>
      <c r="D144" s="472"/>
      <c r="E144" s="473">
        <f>SUM(F129)</f>
        <v>2485392</v>
      </c>
      <c r="F144" s="474" t="e">
        <f>SUM(#REF!+#REF!)</f>
        <v>#REF!</v>
      </c>
      <c r="G144" s="473">
        <f>SUM(H129)</f>
        <v>3112104</v>
      </c>
      <c r="H144" s="474" t="e">
        <f>SUM(#REF!+#REF!)</f>
        <v>#REF!</v>
      </c>
      <c r="I144" s="482">
        <f>SUM(J129)</f>
        <v>390133</v>
      </c>
      <c r="J144" s="483" t="e">
        <f>SUM(#REF!+#REF!)</f>
        <v>#REF!</v>
      </c>
      <c r="K144" s="486">
        <f t="shared" si="48"/>
        <v>12.53598851452265</v>
      </c>
      <c r="L144" s="487"/>
    </row>
    <row r="145" spans="1:12" ht="20.100000000000001" customHeight="1" x14ac:dyDescent="0.2">
      <c r="A145" s="470" t="s">
        <v>172</v>
      </c>
      <c r="B145" s="471"/>
      <c r="C145" s="471"/>
      <c r="D145" s="472"/>
      <c r="E145" s="473">
        <f>SUM(E138)</f>
        <v>1050932</v>
      </c>
      <c r="F145" s="474" t="e">
        <f>SUM(#REF!+#REF!)</f>
        <v>#REF!</v>
      </c>
      <c r="G145" s="473">
        <f>SUM(G138)</f>
        <v>1077497</v>
      </c>
      <c r="H145" s="474" t="e">
        <f>SUM(#REF!+#REF!)</f>
        <v>#REF!</v>
      </c>
      <c r="I145" s="482">
        <f>SUM(I138)</f>
        <v>548000</v>
      </c>
      <c r="J145" s="483" t="e">
        <f>SUM(#REF!+#REF!)</f>
        <v>#REF!</v>
      </c>
      <c r="K145" s="486">
        <f t="shared" si="48"/>
        <v>50.85861027919335</v>
      </c>
      <c r="L145" s="487"/>
    </row>
    <row r="146" spans="1:12" ht="25.5" customHeight="1" thickBot="1" x14ac:dyDescent="0.3">
      <c r="A146" s="479" t="s">
        <v>177</v>
      </c>
      <c r="B146" s="480"/>
      <c r="C146" s="480"/>
      <c r="D146" s="481"/>
      <c r="E146" s="463">
        <f>E143+E144+E145</f>
        <v>43965819</v>
      </c>
      <c r="F146" s="464"/>
      <c r="G146" s="463">
        <f>G143+G144+G145</f>
        <v>45515833</v>
      </c>
      <c r="H146" s="464"/>
      <c r="I146" s="463">
        <f>I143+I144+I145</f>
        <v>17381749</v>
      </c>
      <c r="J146" s="464"/>
      <c r="K146" s="488">
        <f t="shared" si="48"/>
        <v>38.188357444759937</v>
      </c>
      <c r="L146" s="489"/>
    </row>
    <row r="147" spans="1:12" s="31" customFormat="1" ht="4.9000000000000004" customHeight="1" x14ac:dyDescent="0.25">
      <c r="A147" s="478"/>
      <c r="B147" s="478"/>
      <c r="C147" s="478"/>
      <c r="D147" s="478"/>
      <c r="E147" s="74"/>
      <c r="F147" s="74"/>
      <c r="G147" s="74"/>
      <c r="H147" s="74"/>
      <c r="I147" s="74"/>
      <c r="J147" s="74"/>
      <c r="K147" s="74"/>
      <c r="L147" s="74"/>
    </row>
  </sheetData>
  <sheetProtection sheet="1" objects="1" scenarios="1"/>
  <mergeCells count="86">
    <mergeCell ref="E137:F137"/>
    <mergeCell ref="G137:H137"/>
    <mergeCell ref="E136:F136"/>
    <mergeCell ref="G136:H136"/>
    <mergeCell ref="E133:F133"/>
    <mergeCell ref="G133:H133"/>
    <mergeCell ref="E135:F135"/>
    <mergeCell ref="G135:H135"/>
    <mergeCell ref="A38:K38"/>
    <mergeCell ref="A76:L76"/>
    <mergeCell ref="A114:L114"/>
    <mergeCell ref="I133:J133"/>
    <mergeCell ref="I134:J134"/>
    <mergeCell ref="I40:J40"/>
    <mergeCell ref="I78:J78"/>
    <mergeCell ref="I116:J116"/>
    <mergeCell ref="I132:J132"/>
    <mergeCell ref="K40:L40"/>
    <mergeCell ref="K78:L78"/>
    <mergeCell ref="K116:L116"/>
    <mergeCell ref="K132:L132"/>
    <mergeCell ref="K133:L133"/>
    <mergeCell ref="E134:F134"/>
    <mergeCell ref="G134:H134"/>
    <mergeCell ref="K145:L145"/>
    <mergeCell ref="K146:L146"/>
    <mergeCell ref="K138:L138"/>
    <mergeCell ref="K142:L142"/>
    <mergeCell ref="I144:J144"/>
    <mergeCell ref="I145:J145"/>
    <mergeCell ref="I146:J146"/>
    <mergeCell ref="I138:J138"/>
    <mergeCell ref="I142:J142"/>
    <mergeCell ref="I143:J143"/>
    <mergeCell ref="K143:L143"/>
    <mergeCell ref="K144:L144"/>
    <mergeCell ref="I135:J135"/>
    <mergeCell ref="I136:J136"/>
    <mergeCell ref="I137:J137"/>
    <mergeCell ref="K134:L134"/>
    <mergeCell ref="K135:L135"/>
    <mergeCell ref="K136:L136"/>
    <mergeCell ref="K137:L137"/>
    <mergeCell ref="A147:D147"/>
    <mergeCell ref="G145:H145"/>
    <mergeCell ref="A146:D146"/>
    <mergeCell ref="E146:F146"/>
    <mergeCell ref="G146:H146"/>
    <mergeCell ref="A145:D145"/>
    <mergeCell ref="E145:F145"/>
    <mergeCell ref="G143:H143"/>
    <mergeCell ref="A144:D144"/>
    <mergeCell ref="E144:F144"/>
    <mergeCell ref="G144:H144"/>
    <mergeCell ref="A143:D143"/>
    <mergeCell ref="E143:F143"/>
    <mergeCell ref="G138:H138"/>
    <mergeCell ref="A142:D142"/>
    <mergeCell ref="E142:F142"/>
    <mergeCell ref="G142:H142"/>
    <mergeCell ref="A138:D138"/>
    <mergeCell ref="E138:F138"/>
    <mergeCell ref="G116:H116"/>
    <mergeCell ref="A129:D129"/>
    <mergeCell ref="A132:D132"/>
    <mergeCell ref="E132:F132"/>
    <mergeCell ref="A116:C117"/>
    <mergeCell ref="D116:D117"/>
    <mergeCell ref="E116:F116"/>
    <mergeCell ref="G132:H132"/>
    <mergeCell ref="G78:H78"/>
    <mergeCell ref="A78:C79"/>
    <mergeCell ref="D78:D79"/>
    <mergeCell ref="E78:F78"/>
    <mergeCell ref="G40:H40"/>
    <mergeCell ref="A40:C41"/>
    <mergeCell ref="D40:D41"/>
    <mergeCell ref="E40:F40"/>
    <mergeCell ref="A1:L1"/>
    <mergeCell ref="G5:H5"/>
    <mergeCell ref="D4:F4"/>
    <mergeCell ref="A5:C6"/>
    <mergeCell ref="D5:D6"/>
    <mergeCell ref="E5:F5"/>
    <mergeCell ref="I5:J5"/>
    <mergeCell ref="K5:L5"/>
  </mergeCells>
  <pageMargins left="0.62992125984251968" right="0.62992125984251968" top="0.74803149606299213" bottom="0.74803149606299213" header="0.31496062992125984" footer="0.31496062992125984"/>
  <pageSetup paperSize="9" scale="67" orientation="landscape" r:id="rId1"/>
  <headerFooter alignWithMargins="0"/>
  <rowBreaks count="1" manualBreakCount="1">
    <brk id="11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zoomScale="70" zoomScaleNormal="70" workbookViewId="0"/>
  </sheetViews>
  <sheetFormatPr defaultColWidth="9.140625" defaultRowHeight="12.75" x14ac:dyDescent="0.2"/>
  <cols>
    <col min="1" max="1" width="1.85546875" customWidth="1"/>
    <col min="2" max="2" width="63.5703125" customWidth="1"/>
    <col min="3" max="5" width="18.7109375" customWidth="1"/>
    <col min="6" max="6" width="15.7109375" customWidth="1"/>
    <col min="7" max="7" width="11.85546875" style="19" customWidth="1"/>
    <col min="9" max="9" width="10.85546875" bestFit="1" customWidth="1"/>
  </cols>
  <sheetData>
    <row r="1" spans="2:7" ht="25.15" customHeight="1" x14ac:dyDescent="0.2"/>
    <row r="2" spans="2:7" ht="23.25" x14ac:dyDescent="0.2">
      <c r="B2" s="498" t="s">
        <v>251</v>
      </c>
      <c r="C2" s="498"/>
      <c r="D2" s="498"/>
      <c r="E2" s="498"/>
      <c r="F2" s="498"/>
      <c r="G2" s="183"/>
    </row>
    <row r="3" spans="2:7" ht="23.25" customHeight="1" x14ac:dyDescent="0.2">
      <c r="B3" s="498" t="s">
        <v>178</v>
      </c>
      <c r="C3" s="498"/>
      <c r="D3" s="498"/>
      <c r="E3" s="498"/>
      <c r="F3" s="498"/>
      <c r="G3" s="183"/>
    </row>
    <row r="4" spans="2:7" ht="23.25" x14ac:dyDescent="0.2">
      <c r="B4" s="498" t="s">
        <v>179</v>
      </c>
      <c r="C4" s="498"/>
      <c r="D4" s="498"/>
      <c r="E4" s="498"/>
      <c r="F4" s="498"/>
      <c r="G4" s="183"/>
    </row>
    <row r="5" spans="2:7" ht="23.25" x14ac:dyDescent="0.2">
      <c r="B5" s="498" t="s">
        <v>252</v>
      </c>
      <c r="C5" s="498"/>
      <c r="D5" s="498"/>
      <c r="E5" s="498"/>
      <c r="F5" s="498"/>
      <c r="G5" s="183"/>
    </row>
    <row r="6" spans="2:7" ht="23.25" x14ac:dyDescent="0.2">
      <c r="B6" s="101"/>
      <c r="C6" s="101"/>
      <c r="D6" s="103"/>
      <c r="E6" s="103"/>
      <c r="F6" s="103"/>
      <c r="G6" s="120"/>
    </row>
    <row r="7" spans="2:7" ht="30.75" thickBot="1" x14ac:dyDescent="0.25">
      <c r="B7" s="98"/>
      <c r="C7" s="1"/>
      <c r="E7" s="1"/>
      <c r="F7" s="1" t="s">
        <v>180</v>
      </c>
      <c r="G7" s="190"/>
    </row>
    <row r="8" spans="2:7" ht="46.5" customHeight="1" thickBot="1" x14ac:dyDescent="0.25">
      <c r="B8" s="104" t="s">
        <v>1</v>
      </c>
      <c r="C8" s="2" t="s">
        <v>228</v>
      </c>
      <c r="D8" s="2" t="s">
        <v>229</v>
      </c>
      <c r="E8" s="2" t="s">
        <v>245</v>
      </c>
      <c r="F8" s="2" t="s">
        <v>223</v>
      </c>
      <c r="G8" s="191"/>
    </row>
    <row r="9" spans="2:7" ht="22.15" customHeight="1" x14ac:dyDescent="0.25">
      <c r="B9" s="75" t="s">
        <v>181</v>
      </c>
      <c r="C9" s="159">
        <f t="shared" ref="C9:D9" si="0">SUM(C11:C15)</f>
        <v>161580</v>
      </c>
      <c r="D9" s="159">
        <f t="shared" si="0"/>
        <v>518733</v>
      </c>
      <c r="E9" s="236">
        <f t="shared" ref="E9" si="1">SUM(E11:E15)</f>
        <v>437943</v>
      </c>
      <c r="F9" s="237">
        <f>E9/D9*100</f>
        <v>84.425513703581615</v>
      </c>
      <c r="G9" s="96"/>
    </row>
    <row r="10" spans="2:7" ht="22.15" customHeight="1" x14ac:dyDescent="0.25">
      <c r="B10" s="75" t="s">
        <v>182</v>
      </c>
      <c r="C10" s="159"/>
      <c r="D10" s="159"/>
      <c r="E10" s="236"/>
      <c r="F10" s="237"/>
      <c r="G10" s="96"/>
    </row>
    <row r="11" spans="2:7" ht="22.15" customHeight="1" x14ac:dyDescent="0.25">
      <c r="B11" s="75" t="s">
        <v>183</v>
      </c>
      <c r="C11" s="159">
        <v>0</v>
      </c>
      <c r="D11" s="159">
        <v>0</v>
      </c>
      <c r="E11" s="236">
        <v>0</v>
      </c>
      <c r="F11" s="237"/>
      <c r="G11" s="96"/>
    </row>
    <row r="12" spans="2:7" ht="22.15" customHeight="1" x14ac:dyDescent="0.25">
      <c r="B12" s="75" t="s">
        <v>184</v>
      </c>
      <c r="C12" s="159">
        <v>0</v>
      </c>
      <c r="D12" s="159">
        <v>0</v>
      </c>
      <c r="E12" s="236">
        <v>0</v>
      </c>
      <c r="F12" s="237"/>
      <c r="G12" s="96"/>
    </row>
    <row r="13" spans="2:7" ht="22.15" customHeight="1" x14ac:dyDescent="0.25">
      <c r="B13" s="75" t="s">
        <v>185</v>
      </c>
      <c r="C13" s="159">
        <v>0</v>
      </c>
      <c r="D13" s="159">
        <v>0</v>
      </c>
      <c r="E13" s="236">
        <v>0</v>
      </c>
      <c r="F13" s="237"/>
      <c r="G13" s="96"/>
    </row>
    <row r="14" spans="2:7" ht="22.15" customHeight="1" x14ac:dyDescent="0.25">
      <c r="B14" s="75" t="s">
        <v>186</v>
      </c>
      <c r="C14" s="159">
        <v>0</v>
      </c>
      <c r="D14" s="159">
        <v>307153</v>
      </c>
      <c r="E14" s="236">
        <v>307153</v>
      </c>
      <c r="F14" s="237">
        <f t="shared" ref="F14:F22" si="2">E14/D14*100</f>
        <v>100</v>
      </c>
      <c r="G14" s="96"/>
    </row>
    <row r="15" spans="2:7" ht="22.15" customHeight="1" x14ac:dyDescent="0.25">
      <c r="B15" s="75" t="s">
        <v>187</v>
      </c>
      <c r="C15" s="159">
        <v>161580</v>
      </c>
      <c r="D15" s="159">
        <v>211580</v>
      </c>
      <c r="E15" s="236">
        <v>130790</v>
      </c>
      <c r="F15" s="237">
        <f t="shared" si="2"/>
        <v>61.815861612628794</v>
      </c>
      <c r="G15" s="96"/>
    </row>
    <row r="16" spans="2:7" ht="22.15" customHeight="1" x14ac:dyDescent="0.25">
      <c r="B16" s="75"/>
      <c r="C16" s="159"/>
      <c r="D16" s="159"/>
      <c r="E16" s="236"/>
      <c r="F16" s="237"/>
      <c r="G16" s="96"/>
    </row>
    <row r="17" spans="2:7" ht="22.15" customHeight="1" x14ac:dyDescent="0.25">
      <c r="B17" s="75" t="s">
        <v>188</v>
      </c>
      <c r="C17" s="159">
        <v>0</v>
      </c>
      <c r="D17" s="159">
        <v>0</v>
      </c>
      <c r="E17" s="236">
        <v>0</v>
      </c>
      <c r="F17" s="237"/>
      <c r="G17" s="96"/>
    </row>
    <row r="18" spans="2:7" ht="22.15" customHeight="1" x14ac:dyDescent="0.2">
      <c r="B18" s="4"/>
      <c r="C18" s="161"/>
      <c r="D18" s="161"/>
      <c r="E18" s="238"/>
      <c r="F18" s="239"/>
      <c r="G18" s="192"/>
    </row>
    <row r="19" spans="2:7" ht="22.15" customHeight="1" x14ac:dyDescent="0.2">
      <c r="B19" s="4" t="s">
        <v>177</v>
      </c>
      <c r="C19" s="162">
        <v>386710</v>
      </c>
      <c r="D19" s="162">
        <v>793863</v>
      </c>
      <c r="E19" s="240">
        <v>773432</v>
      </c>
      <c r="F19" s="241">
        <f t="shared" si="2"/>
        <v>97.426382133945026</v>
      </c>
      <c r="G19" s="192"/>
    </row>
    <row r="20" spans="2:7" ht="22.15" customHeight="1" x14ac:dyDescent="0.2">
      <c r="B20" s="163" t="s">
        <v>247</v>
      </c>
      <c r="C20" s="162">
        <v>386710</v>
      </c>
      <c r="D20" s="162">
        <v>793863</v>
      </c>
      <c r="E20" s="240">
        <v>769116</v>
      </c>
      <c r="F20" s="241">
        <f t="shared" si="2"/>
        <v>96.882711500598973</v>
      </c>
      <c r="G20" s="192"/>
    </row>
    <row r="21" spans="2:7" ht="22.15" customHeight="1" x14ac:dyDescent="0.2">
      <c r="B21" s="199"/>
      <c r="C21" s="164"/>
      <c r="D21" s="164"/>
      <c r="E21" s="242"/>
      <c r="F21" s="243"/>
      <c r="G21" s="193"/>
    </row>
    <row r="22" spans="2:7" ht="22.15" customHeight="1" x14ac:dyDescent="0.2">
      <c r="B22" s="4" t="s">
        <v>246</v>
      </c>
      <c r="C22" s="161">
        <v>225130</v>
      </c>
      <c r="D22" s="161">
        <v>225130</v>
      </c>
      <c r="E22" s="238">
        <v>77329</v>
      </c>
      <c r="F22" s="239">
        <f t="shared" si="2"/>
        <v>34.34859858748279</v>
      </c>
      <c r="G22" s="192"/>
    </row>
    <row r="23" spans="2:7" ht="22.15" customHeight="1" thickBot="1" x14ac:dyDescent="0.25">
      <c r="B23" s="8"/>
      <c r="C23" s="165"/>
      <c r="D23" s="165"/>
      <c r="E23" s="244"/>
      <c r="F23" s="245"/>
      <c r="G23" s="192"/>
    </row>
    <row r="24" spans="2:7" ht="20.100000000000001" customHeight="1" x14ac:dyDescent="0.2">
      <c r="B24" s="76"/>
      <c r="C24" s="77"/>
      <c r="D24" s="77"/>
      <c r="E24" s="77"/>
      <c r="F24" s="77"/>
      <c r="G24" s="194"/>
    </row>
    <row r="25" spans="2:7" ht="20.100000000000001" customHeight="1" x14ac:dyDescent="0.2">
      <c r="B25" s="76"/>
      <c r="C25" s="77"/>
      <c r="D25" s="77"/>
      <c r="E25" s="77"/>
      <c r="F25" s="77"/>
      <c r="G25" s="194"/>
    </row>
    <row r="26" spans="2:7" ht="20.100000000000001" customHeight="1" x14ac:dyDescent="0.2">
      <c r="B26" s="76"/>
      <c r="C26" s="77"/>
      <c r="D26" s="77"/>
      <c r="E26" s="77"/>
      <c r="F26" s="77"/>
      <c r="G26" s="194"/>
    </row>
    <row r="27" spans="2:7" ht="20.100000000000001" customHeight="1" x14ac:dyDescent="0.2">
      <c r="B27" s="76"/>
      <c r="C27" s="77"/>
      <c r="D27" s="77"/>
      <c r="E27" s="77"/>
      <c r="F27" s="77"/>
      <c r="G27" s="194"/>
    </row>
    <row r="28" spans="2:7" ht="20.100000000000001" customHeight="1" x14ac:dyDescent="0.2">
      <c r="B28" s="76"/>
      <c r="C28" s="77"/>
      <c r="D28" s="77"/>
      <c r="E28" s="77"/>
      <c r="F28" s="77"/>
      <c r="G28" s="194"/>
    </row>
    <row r="29" spans="2:7" ht="20.100000000000001" customHeight="1" x14ac:dyDescent="0.2">
      <c r="B29" s="76"/>
      <c r="C29" s="77"/>
      <c r="D29" s="77"/>
      <c r="E29" s="77"/>
      <c r="F29" s="77"/>
      <c r="G29" s="194"/>
    </row>
    <row r="30" spans="2:7" ht="23.1" customHeight="1" x14ac:dyDescent="0.2">
      <c r="B30" s="498" t="s">
        <v>253</v>
      </c>
      <c r="C30" s="498"/>
      <c r="D30" s="498"/>
      <c r="E30" s="498"/>
      <c r="F30" s="498"/>
      <c r="G30" s="183"/>
    </row>
    <row r="31" spans="2:7" ht="23.1" customHeight="1" x14ac:dyDescent="0.2">
      <c r="B31" s="498" t="s">
        <v>189</v>
      </c>
      <c r="C31" s="498"/>
      <c r="D31" s="498"/>
      <c r="E31" s="498"/>
      <c r="F31" s="498"/>
      <c r="G31" s="183"/>
    </row>
    <row r="32" spans="2:7" ht="23.1" customHeight="1" x14ac:dyDescent="0.2">
      <c r="B32" s="498" t="s">
        <v>252</v>
      </c>
      <c r="C32" s="498"/>
      <c r="D32" s="498"/>
      <c r="E32" s="498"/>
      <c r="F32" s="498"/>
      <c r="G32" s="183"/>
    </row>
    <row r="33" spans="2:7" ht="30.75" thickBot="1" x14ac:dyDescent="0.25">
      <c r="B33" s="166"/>
      <c r="C33" s="1"/>
      <c r="E33" s="1"/>
      <c r="F33" s="1" t="s">
        <v>232</v>
      </c>
      <c r="G33" s="190"/>
    </row>
    <row r="34" spans="2:7" ht="48.95" customHeight="1" thickBot="1" x14ac:dyDescent="0.25">
      <c r="B34" s="104" t="s">
        <v>1</v>
      </c>
      <c r="C34" s="2" t="s">
        <v>228</v>
      </c>
      <c r="D34" s="2" t="s">
        <v>229</v>
      </c>
      <c r="E34" s="2" t="s">
        <v>245</v>
      </c>
      <c r="F34" s="2" t="s">
        <v>223</v>
      </c>
      <c r="G34" s="191"/>
    </row>
    <row r="35" spans="2:7" ht="24.95" customHeight="1" x14ac:dyDescent="0.2">
      <c r="B35" s="167" t="s">
        <v>190</v>
      </c>
      <c r="C35" s="168"/>
      <c r="D35" s="168"/>
      <c r="E35" s="246"/>
      <c r="F35" s="247"/>
      <c r="G35" s="169"/>
    </row>
    <row r="36" spans="2:7" ht="20.100000000000001" customHeight="1" x14ac:dyDescent="0.25">
      <c r="B36" s="170" t="s">
        <v>191</v>
      </c>
      <c r="C36" s="171">
        <f>SUM(C38:C44)</f>
        <v>1491634</v>
      </c>
      <c r="D36" s="171">
        <f>SUM(D38:D44)</f>
        <v>1541634</v>
      </c>
      <c r="E36" s="235">
        <f t="shared" ref="E36" si="3">SUM(E38:E44)</f>
        <v>676600</v>
      </c>
      <c r="F36" s="248">
        <f t="shared" ref="F36:F59" si="4">E36/D36*100</f>
        <v>43.888497529244944</v>
      </c>
      <c r="G36" s="172"/>
    </row>
    <row r="37" spans="2:7" ht="18.95" customHeight="1" x14ac:dyDescent="0.25">
      <c r="B37" s="170" t="s">
        <v>192</v>
      </c>
      <c r="C37" s="173"/>
      <c r="D37" s="173"/>
      <c r="E37" s="249"/>
      <c r="F37" s="250"/>
      <c r="G37" s="172"/>
    </row>
    <row r="38" spans="2:7" ht="20.100000000000001" customHeight="1" x14ac:dyDescent="0.25">
      <c r="B38" s="170" t="s">
        <v>233</v>
      </c>
      <c r="C38" s="174">
        <v>1439934</v>
      </c>
      <c r="D38" s="174">
        <v>1459934</v>
      </c>
      <c r="E38" s="251">
        <v>671000</v>
      </c>
      <c r="F38" s="252">
        <f t="shared" si="4"/>
        <v>45.9609817978073</v>
      </c>
      <c r="G38" s="172"/>
    </row>
    <row r="39" spans="2:7" ht="18.95" customHeight="1" x14ac:dyDescent="0.25">
      <c r="B39" s="170" t="s">
        <v>234</v>
      </c>
      <c r="C39" s="174">
        <v>8000</v>
      </c>
      <c r="D39" s="174">
        <v>38000</v>
      </c>
      <c r="E39" s="251">
        <v>0</v>
      </c>
      <c r="F39" s="252">
        <f t="shared" si="4"/>
        <v>0</v>
      </c>
      <c r="G39" s="172"/>
    </row>
    <row r="40" spans="2:7" ht="18.95" customHeight="1" x14ac:dyDescent="0.25">
      <c r="B40" s="170" t="s">
        <v>235</v>
      </c>
      <c r="C40" s="174">
        <v>4000</v>
      </c>
      <c r="D40" s="174">
        <v>4000</v>
      </c>
      <c r="E40" s="251">
        <v>0</v>
      </c>
      <c r="F40" s="252">
        <f t="shared" si="4"/>
        <v>0</v>
      </c>
      <c r="G40" s="172"/>
    </row>
    <row r="41" spans="2:7" ht="18.95" customHeight="1" x14ac:dyDescent="0.25">
      <c r="B41" s="170" t="s">
        <v>236</v>
      </c>
      <c r="C41" s="174">
        <v>5600</v>
      </c>
      <c r="D41" s="174">
        <v>5600</v>
      </c>
      <c r="E41" s="251">
        <v>5600</v>
      </c>
      <c r="F41" s="252">
        <f t="shared" si="4"/>
        <v>100</v>
      </c>
      <c r="G41" s="172"/>
    </row>
    <row r="42" spans="2:7" ht="18.95" customHeight="1" x14ac:dyDescent="0.25">
      <c r="B42" s="170" t="s">
        <v>237</v>
      </c>
      <c r="C42" s="174">
        <v>15000</v>
      </c>
      <c r="D42" s="174">
        <v>15000</v>
      </c>
      <c r="E42" s="251">
        <v>0</v>
      </c>
      <c r="F42" s="252">
        <f t="shared" si="4"/>
        <v>0</v>
      </c>
      <c r="G42" s="172"/>
    </row>
    <row r="43" spans="2:7" ht="18.95" customHeight="1" x14ac:dyDescent="0.25">
      <c r="B43" s="170" t="s">
        <v>238</v>
      </c>
      <c r="C43" s="174">
        <v>2600</v>
      </c>
      <c r="D43" s="174">
        <v>2600</v>
      </c>
      <c r="E43" s="251">
        <v>0</v>
      </c>
      <c r="F43" s="252">
        <f t="shared" si="4"/>
        <v>0</v>
      </c>
      <c r="G43" s="172"/>
    </row>
    <row r="44" spans="2:7" ht="20.100000000000001" customHeight="1" x14ac:dyDescent="0.25">
      <c r="B44" s="170" t="s">
        <v>239</v>
      </c>
      <c r="C44" s="174">
        <v>16500</v>
      </c>
      <c r="D44" s="174">
        <v>16500</v>
      </c>
      <c r="E44" s="251">
        <v>0</v>
      </c>
      <c r="F44" s="252">
        <f t="shared" si="4"/>
        <v>0</v>
      </c>
      <c r="G44" s="172"/>
    </row>
    <row r="45" spans="2:7" ht="18.95" customHeight="1" x14ac:dyDescent="0.25">
      <c r="B45" s="175" t="s">
        <v>193</v>
      </c>
      <c r="C45" s="174">
        <v>0</v>
      </c>
      <c r="D45" s="174">
        <v>0</v>
      </c>
      <c r="E45" s="251">
        <v>14122</v>
      </c>
      <c r="F45" s="252"/>
      <c r="G45" s="172"/>
    </row>
    <row r="46" spans="2:7" ht="18.95" customHeight="1" x14ac:dyDescent="0.25">
      <c r="B46" s="175" t="s">
        <v>194</v>
      </c>
      <c r="C46" s="174">
        <v>25000</v>
      </c>
      <c r="D46" s="174">
        <v>25000</v>
      </c>
      <c r="E46" s="251">
        <v>0</v>
      </c>
      <c r="F46" s="252">
        <f t="shared" si="4"/>
        <v>0</v>
      </c>
      <c r="G46" s="172"/>
    </row>
    <row r="47" spans="2:7" ht="18.95" customHeight="1" x14ac:dyDescent="0.25">
      <c r="B47" s="176" t="s">
        <v>240</v>
      </c>
      <c r="C47" s="160">
        <v>0</v>
      </c>
      <c r="D47" s="160">
        <v>0</v>
      </c>
      <c r="E47" s="264">
        <v>0</v>
      </c>
      <c r="F47" s="265"/>
      <c r="G47" s="10"/>
    </row>
    <row r="48" spans="2:7" ht="18.95" customHeight="1" x14ac:dyDescent="0.2">
      <c r="B48" s="178" t="s">
        <v>195</v>
      </c>
      <c r="C48" s="177">
        <v>1491634</v>
      </c>
      <c r="D48" s="177">
        <v>1541634</v>
      </c>
      <c r="E48" s="253">
        <v>612719</v>
      </c>
      <c r="F48" s="254">
        <f t="shared" si="4"/>
        <v>39.744777294740516</v>
      </c>
      <c r="G48" s="10"/>
    </row>
    <row r="49" spans="2:7" ht="18.95" customHeight="1" x14ac:dyDescent="0.2">
      <c r="B49" s="163" t="s">
        <v>196</v>
      </c>
      <c r="C49" s="177">
        <v>710572.6</v>
      </c>
      <c r="D49" s="177">
        <v>710572.6</v>
      </c>
      <c r="E49" s="253">
        <v>285048</v>
      </c>
      <c r="F49" s="254">
        <f t="shared" si="4"/>
        <v>40.115253529336762</v>
      </c>
      <c r="G49" s="10"/>
    </row>
    <row r="50" spans="2:7" ht="18.95" customHeight="1" x14ac:dyDescent="0.2">
      <c r="B50" s="179" t="s">
        <v>197</v>
      </c>
      <c r="C50" s="177">
        <v>25000</v>
      </c>
      <c r="D50" s="177">
        <v>25000</v>
      </c>
      <c r="E50" s="253">
        <v>0</v>
      </c>
      <c r="F50" s="254">
        <f t="shared" si="4"/>
        <v>0</v>
      </c>
      <c r="G50" s="10"/>
    </row>
    <row r="51" spans="2:7" ht="18.95" customHeight="1" x14ac:dyDescent="0.2">
      <c r="B51" s="179" t="s">
        <v>198</v>
      </c>
      <c r="C51" s="177">
        <v>262185</v>
      </c>
      <c r="D51" s="177">
        <v>262185</v>
      </c>
      <c r="E51" s="253">
        <v>79767</v>
      </c>
      <c r="F51" s="254">
        <f t="shared" si="4"/>
        <v>30.423937296183993</v>
      </c>
      <c r="G51" s="10"/>
    </row>
    <row r="52" spans="2:7" ht="24.95" customHeight="1" x14ac:dyDescent="0.2">
      <c r="B52" s="167" t="s">
        <v>199</v>
      </c>
      <c r="C52" s="180"/>
      <c r="D52" s="180"/>
      <c r="E52" s="255"/>
      <c r="F52" s="256"/>
      <c r="G52" s="10"/>
    </row>
    <row r="53" spans="2:7" ht="20.100000000000001" customHeight="1" x14ac:dyDescent="0.25">
      <c r="B53" s="170" t="s">
        <v>200</v>
      </c>
      <c r="C53" s="174">
        <v>702813</v>
      </c>
      <c r="D53" s="174">
        <v>688757</v>
      </c>
      <c r="E53" s="251">
        <v>304500</v>
      </c>
      <c r="F53" s="252">
        <f t="shared" si="4"/>
        <v>44.210076993772837</v>
      </c>
      <c r="G53" s="172"/>
    </row>
    <row r="54" spans="2:7" ht="20.100000000000001" customHeight="1" x14ac:dyDescent="0.25">
      <c r="B54" s="175" t="s">
        <v>193</v>
      </c>
      <c r="C54" s="174">
        <v>0</v>
      </c>
      <c r="D54" s="174">
        <v>0</v>
      </c>
      <c r="E54" s="251">
        <v>0</v>
      </c>
      <c r="F54" s="252"/>
      <c r="G54" s="172"/>
    </row>
    <row r="55" spans="2:7" ht="20.100000000000001" customHeight="1" x14ac:dyDescent="0.25">
      <c r="B55" s="170" t="s">
        <v>201</v>
      </c>
      <c r="C55" s="174">
        <v>0</v>
      </c>
      <c r="D55" s="174">
        <v>0</v>
      </c>
      <c r="E55" s="251">
        <v>0</v>
      </c>
      <c r="F55" s="252"/>
      <c r="G55" s="172"/>
    </row>
    <row r="56" spans="2:7" ht="20.100000000000001" customHeight="1" x14ac:dyDescent="0.2">
      <c r="B56" s="178" t="s">
        <v>195</v>
      </c>
      <c r="C56" s="177">
        <v>702813</v>
      </c>
      <c r="D56" s="177">
        <v>688757</v>
      </c>
      <c r="E56" s="253">
        <v>264849</v>
      </c>
      <c r="F56" s="254">
        <f t="shared" si="4"/>
        <v>38.453184504839875</v>
      </c>
      <c r="G56" s="10"/>
    </row>
    <row r="57" spans="2:7" ht="20.100000000000001" customHeight="1" x14ac:dyDescent="0.2">
      <c r="B57" s="163" t="s">
        <v>196</v>
      </c>
      <c r="C57" s="177">
        <v>358368</v>
      </c>
      <c r="D57" s="177">
        <v>358368</v>
      </c>
      <c r="E57" s="253">
        <v>122171</v>
      </c>
      <c r="F57" s="254">
        <f t="shared" si="4"/>
        <v>34.090934458433793</v>
      </c>
      <c r="G57" s="10"/>
    </row>
    <row r="58" spans="2:7" ht="20.100000000000001" customHeight="1" x14ac:dyDescent="0.2">
      <c r="B58" s="179" t="s">
        <v>197</v>
      </c>
      <c r="C58" s="177">
        <v>0</v>
      </c>
      <c r="D58" s="177">
        <v>0</v>
      </c>
      <c r="E58" s="253">
        <v>0</v>
      </c>
      <c r="F58" s="254"/>
      <c r="G58" s="10"/>
    </row>
    <row r="59" spans="2:7" ht="20.100000000000001" customHeight="1" thickBot="1" x14ac:dyDescent="0.25">
      <c r="B59" s="181" t="s">
        <v>202</v>
      </c>
      <c r="C59" s="182">
        <v>24515</v>
      </c>
      <c r="D59" s="182">
        <v>24515</v>
      </c>
      <c r="E59" s="257">
        <v>17482</v>
      </c>
      <c r="F59" s="258">
        <f t="shared" si="4"/>
        <v>71.311441974301445</v>
      </c>
      <c r="G59" s="10"/>
    </row>
    <row r="60" spans="2:7" s="19" customFormat="1" ht="18.600000000000001" customHeight="1" x14ac:dyDescent="0.2">
      <c r="B60" s="79"/>
      <c r="C60" s="10"/>
      <c r="D60" s="10"/>
      <c r="E60" s="10"/>
      <c r="F60" s="10"/>
      <c r="G60" s="10"/>
    </row>
    <row r="61" spans="2:7" ht="18.95" customHeight="1" x14ac:dyDescent="0.2">
      <c r="B61" s="498" t="s">
        <v>254</v>
      </c>
      <c r="C61" s="498"/>
      <c r="D61" s="498"/>
      <c r="E61" s="498"/>
      <c r="F61" s="498"/>
      <c r="G61" s="183"/>
    </row>
    <row r="62" spans="2:7" ht="18.95" customHeight="1" x14ac:dyDescent="0.2">
      <c r="B62" s="498" t="s">
        <v>241</v>
      </c>
      <c r="C62" s="498"/>
      <c r="D62" s="498"/>
      <c r="E62" s="498"/>
      <c r="F62" s="498"/>
      <c r="G62" s="183"/>
    </row>
    <row r="63" spans="2:7" ht="18.95" customHeight="1" x14ac:dyDescent="0.2">
      <c r="B63" s="498" t="s">
        <v>252</v>
      </c>
      <c r="C63" s="498"/>
      <c r="D63" s="498"/>
      <c r="E63" s="498"/>
      <c r="F63" s="498"/>
      <c r="G63" s="183"/>
    </row>
    <row r="64" spans="2:7" ht="29.25" customHeight="1" thickBot="1" x14ac:dyDescent="0.25">
      <c r="B64" s="184"/>
      <c r="C64" s="1"/>
      <c r="E64" s="1"/>
      <c r="F64" s="1" t="s">
        <v>203</v>
      </c>
      <c r="G64" s="190"/>
    </row>
    <row r="65" spans="2:9" ht="41.1" customHeight="1" thickBot="1" x14ac:dyDescent="0.25">
      <c r="B65" s="104" t="s">
        <v>1</v>
      </c>
      <c r="C65" s="2" t="s">
        <v>228</v>
      </c>
      <c r="D65" s="2" t="s">
        <v>229</v>
      </c>
      <c r="E65" s="2" t="s">
        <v>245</v>
      </c>
      <c r="F65" s="2" t="s">
        <v>223</v>
      </c>
      <c r="G65" s="195"/>
    </row>
    <row r="66" spans="2:9" ht="16.5" customHeight="1" x14ac:dyDescent="0.25">
      <c r="B66" s="6" t="s">
        <v>204</v>
      </c>
      <c r="C66" s="174">
        <f>SUM(C70-C67-C68)</f>
        <v>1225821</v>
      </c>
      <c r="D66" s="174">
        <f t="shared" ref="D66" si="5">SUM(D70-D67-D68)</f>
        <v>1232379</v>
      </c>
      <c r="E66" s="251">
        <v>540808</v>
      </c>
      <c r="F66" s="251">
        <f t="shared" ref="F66:F98" si="6">E66/D66*100</f>
        <v>43.883253447194406</v>
      </c>
      <c r="G66" s="196"/>
      <c r="I66" s="95"/>
    </row>
    <row r="67" spans="2:9" ht="16.5" customHeight="1" x14ac:dyDescent="0.25">
      <c r="B67" s="6" t="s">
        <v>205</v>
      </c>
      <c r="C67" s="174">
        <f>SUM(C83+C88+C93)</f>
        <v>418672</v>
      </c>
      <c r="D67" s="174">
        <f t="shared" ref="D67" si="7">SUM(D83+D88+D93)</f>
        <v>418672</v>
      </c>
      <c r="E67" s="251">
        <v>170328</v>
      </c>
      <c r="F67" s="251">
        <f t="shared" si="6"/>
        <v>40.682921236672144</v>
      </c>
      <c r="G67" s="196"/>
      <c r="I67" s="95"/>
    </row>
    <row r="68" spans="2:9" ht="16.5" customHeight="1" x14ac:dyDescent="0.25">
      <c r="B68" s="6" t="s">
        <v>193</v>
      </c>
      <c r="C68" s="174">
        <v>0</v>
      </c>
      <c r="D68" s="174">
        <v>0</v>
      </c>
      <c r="E68" s="251">
        <v>0</v>
      </c>
      <c r="F68" s="251"/>
      <c r="G68" s="196"/>
      <c r="I68" s="95"/>
    </row>
    <row r="69" spans="2:9" ht="16.5" customHeight="1" x14ac:dyDescent="0.25">
      <c r="B69" s="6" t="s">
        <v>206</v>
      </c>
      <c r="C69" s="174">
        <v>14000</v>
      </c>
      <c r="D69" s="174">
        <v>14000</v>
      </c>
      <c r="E69" s="251">
        <v>0</v>
      </c>
      <c r="F69" s="251">
        <f t="shared" si="6"/>
        <v>0</v>
      </c>
      <c r="G69" s="196"/>
      <c r="I69" s="95"/>
    </row>
    <row r="70" spans="2:9" ht="16.5" customHeight="1" x14ac:dyDescent="0.2">
      <c r="B70" s="5" t="s">
        <v>207</v>
      </c>
      <c r="C70" s="185">
        <f t="shared" ref="C70:D70" si="8">SUM(C76+C80)</f>
        <v>1644493</v>
      </c>
      <c r="D70" s="185">
        <f t="shared" si="8"/>
        <v>1651051</v>
      </c>
      <c r="E70" s="259">
        <f t="shared" ref="E70" si="9">SUM(E76+E80)</f>
        <v>612873.14</v>
      </c>
      <c r="F70" s="259">
        <f t="shared" si="6"/>
        <v>37.120182235436701</v>
      </c>
      <c r="G70" s="197"/>
    </row>
    <row r="71" spans="2:9" ht="16.5" customHeight="1" x14ac:dyDescent="0.2">
      <c r="B71" s="78" t="s">
        <v>208</v>
      </c>
      <c r="C71" s="185">
        <f>SUM(C77+C84+C89+C94+C97)</f>
        <v>1027447.6</v>
      </c>
      <c r="D71" s="185">
        <f t="shared" ref="D71" si="10">SUM(D77+D84+D89+D94+D97)</f>
        <v>1032298</v>
      </c>
      <c r="E71" s="259">
        <f t="shared" ref="E71" si="11">SUM(E77+E84+E89+E94+E97)</f>
        <v>360507</v>
      </c>
      <c r="F71" s="259">
        <f t="shared" si="6"/>
        <v>34.922764550546454</v>
      </c>
      <c r="G71" s="197"/>
    </row>
    <row r="72" spans="2:9" ht="16.5" customHeight="1" x14ac:dyDescent="0.2">
      <c r="B72" s="5" t="s">
        <v>209</v>
      </c>
      <c r="C72" s="177">
        <f>SUM(C79+C85+C90+C95+C98)</f>
        <v>380648</v>
      </c>
      <c r="D72" s="177">
        <f t="shared" ref="D72" si="12">SUM(D79+D85+D90+D95+D98)</f>
        <v>380648</v>
      </c>
      <c r="E72" s="253">
        <f t="shared" ref="E72" si="13">SUM(E79+E85+E90+E95+E98)</f>
        <v>147989</v>
      </c>
      <c r="F72" s="253">
        <f t="shared" si="6"/>
        <v>38.878176162754045</v>
      </c>
      <c r="G72" s="197"/>
    </row>
    <row r="73" spans="2:9" ht="16.5" customHeight="1" x14ac:dyDescent="0.2">
      <c r="B73" s="78" t="s">
        <v>210</v>
      </c>
      <c r="C73" s="185">
        <v>100000</v>
      </c>
      <c r="D73" s="185">
        <v>100000</v>
      </c>
      <c r="E73" s="259">
        <v>0</v>
      </c>
      <c r="F73" s="259">
        <f t="shared" si="6"/>
        <v>0</v>
      </c>
      <c r="G73" s="197"/>
    </row>
    <row r="74" spans="2:9" ht="16.5" customHeight="1" x14ac:dyDescent="0.2">
      <c r="B74" s="6" t="s">
        <v>211</v>
      </c>
      <c r="C74" s="185"/>
      <c r="D74" s="185"/>
      <c r="E74" s="259"/>
      <c r="F74" s="259"/>
      <c r="G74" s="197"/>
    </row>
    <row r="75" spans="2:9" ht="16.5" customHeight="1" x14ac:dyDescent="0.2">
      <c r="B75" s="80" t="s">
        <v>212</v>
      </c>
      <c r="C75" s="177"/>
      <c r="D75" s="177"/>
      <c r="E75" s="253"/>
      <c r="F75" s="253"/>
      <c r="G75" s="197"/>
    </row>
    <row r="76" spans="2:9" ht="16.5" customHeight="1" x14ac:dyDescent="0.25">
      <c r="B76" s="5" t="s">
        <v>213</v>
      </c>
      <c r="C76" s="173">
        <v>189792</v>
      </c>
      <c r="D76" s="173">
        <v>189792</v>
      </c>
      <c r="E76" s="249">
        <v>77910</v>
      </c>
      <c r="F76" s="249">
        <f t="shared" si="6"/>
        <v>41.050202326757713</v>
      </c>
      <c r="G76" s="196"/>
    </row>
    <row r="77" spans="2:9" ht="16.5" customHeight="1" x14ac:dyDescent="0.2">
      <c r="B77" s="78" t="s">
        <v>196</v>
      </c>
      <c r="C77" s="177">
        <v>95016</v>
      </c>
      <c r="D77" s="177">
        <v>95016</v>
      </c>
      <c r="E77" s="253">
        <v>41370</v>
      </c>
      <c r="F77" s="253">
        <f t="shared" si="6"/>
        <v>43.540035362465268</v>
      </c>
      <c r="G77" s="197"/>
    </row>
    <row r="78" spans="2:9" ht="16.5" customHeight="1" x14ac:dyDescent="0.2">
      <c r="B78" s="78" t="s">
        <v>242</v>
      </c>
      <c r="C78" s="177">
        <v>14000</v>
      </c>
      <c r="D78" s="177">
        <v>14000</v>
      </c>
      <c r="E78" s="253">
        <v>0</v>
      </c>
      <c r="F78" s="253">
        <f t="shared" si="6"/>
        <v>0</v>
      </c>
      <c r="G78" s="197"/>
    </row>
    <row r="79" spans="2:9" ht="16.5" customHeight="1" x14ac:dyDescent="0.2">
      <c r="B79" s="5" t="s">
        <v>214</v>
      </c>
      <c r="C79" s="177">
        <v>10618</v>
      </c>
      <c r="D79" s="177">
        <v>10618</v>
      </c>
      <c r="E79" s="253">
        <v>7851</v>
      </c>
      <c r="F79" s="253">
        <f t="shared" si="6"/>
        <v>73.940478432849872</v>
      </c>
      <c r="G79" s="197"/>
    </row>
    <row r="80" spans="2:9" ht="16.5" customHeight="1" x14ac:dyDescent="0.2">
      <c r="B80" s="81" t="s">
        <v>215</v>
      </c>
      <c r="C80" s="186">
        <f>SUM(C82+C87+C92+C96)</f>
        <v>1454701</v>
      </c>
      <c r="D80" s="186">
        <f t="shared" ref="D80" si="14">SUM(D82+D87+D92+D96)</f>
        <v>1461259</v>
      </c>
      <c r="E80" s="260">
        <f t="shared" ref="E80" si="15">SUM(E82+E87+E92+E96)</f>
        <v>534963.14</v>
      </c>
      <c r="F80" s="260">
        <f t="shared" si="6"/>
        <v>36.609741325801934</v>
      </c>
      <c r="G80" s="198"/>
    </row>
    <row r="81" spans="2:7" ht="16.5" customHeight="1" x14ac:dyDescent="0.2">
      <c r="B81" s="80" t="s">
        <v>216</v>
      </c>
      <c r="C81" s="177"/>
      <c r="D81" s="177"/>
      <c r="E81" s="253"/>
      <c r="F81" s="253"/>
      <c r="G81" s="197"/>
    </row>
    <row r="82" spans="2:7" ht="16.5" customHeight="1" x14ac:dyDescent="0.25">
      <c r="B82" s="5" t="s">
        <v>213</v>
      </c>
      <c r="C82" s="173">
        <v>686709</v>
      </c>
      <c r="D82" s="173">
        <v>692354</v>
      </c>
      <c r="E82" s="249">
        <v>275308</v>
      </c>
      <c r="F82" s="249">
        <f t="shared" si="6"/>
        <v>39.764051337899396</v>
      </c>
      <c r="G82" s="196"/>
    </row>
    <row r="83" spans="2:7" ht="16.5" customHeight="1" x14ac:dyDescent="0.2">
      <c r="B83" s="5" t="s">
        <v>217</v>
      </c>
      <c r="C83" s="177">
        <v>286272</v>
      </c>
      <c r="D83" s="177">
        <v>286272</v>
      </c>
      <c r="E83" s="253">
        <v>124820</v>
      </c>
      <c r="F83" s="253">
        <f t="shared" si="6"/>
        <v>43.60188911245249</v>
      </c>
      <c r="G83" s="197"/>
    </row>
    <row r="84" spans="2:7" ht="16.5" customHeight="1" x14ac:dyDescent="0.2">
      <c r="B84" s="78" t="s">
        <v>196</v>
      </c>
      <c r="C84" s="177">
        <v>414925.6</v>
      </c>
      <c r="D84" s="177">
        <v>419101</v>
      </c>
      <c r="E84" s="253">
        <v>152305</v>
      </c>
      <c r="F84" s="253">
        <f t="shared" si="6"/>
        <v>36.340882030823117</v>
      </c>
      <c r="G84" s="197"/>
    </row>
    <row r="85" spans="2:7" ht="16.5" customHeight="1" x14ac:dyDescent="0.2">
      <c r="B85" s="5" t="s">
        <v>214</v>
      </c>
      <c r="C85" s="177">
        <v>191530</v>
      </c>
      <c r="D85" s="177">
        <v>191530</v>
      </c>
      <c r="E85" s="253">
        <v>98657</v>
      </c>
      <c r="F85" s="253">
        <f t="shared" si="6"/>
        <v>51.509946222523887</v>
      </c>
      <c r="G85" s="197"/>
    </row>
    <row r="86" spans="2:7" ht="16.5" customHeight="1" x14ac:dyDescent="0.2">
      <c r="B86" s="80" t="s">
        <v>218</v>
      </c>
      <c r="C86" s="177"/>
      <c r="D86" s="177"/>
      <c r="E86" s="253"/>
      <c r="F86" s="253"/>
      <c r="G86" s="197"/>
    </row>
    <row r="87" spans="2:7" ht="16.5" customHeight="1" x14ac:dyDescent="0.25">
      <c r="B87" s="5" t="s">
        <v>219</v>
      </c>
      <c r="C87" s="173">
        <v>644520</v>
      </c>
      <c r="D87" s="173">
        <v>645433</v>
      </c>
      <c r="E87" s="249">
        <v>217834</v>
      </c>
      <c r="F87" s="249">
        <f t="shared" si="6"/>
        <v>33.750056163846601</v>
      </c>
      <c r="G87" s="196"/>
    </row>
    <row r="88" spans="2:7" ht="16.5" customHeight="1" x14ac:dyDescent="0.2">
      <c r="B88" s="5" t="s">
        <v>220</v>
      </c>
      <c r="C88" s="177">
        <v>100000</v>
      </c>
      <c r="D88" s="177">
        <v>100000</v>
      </c>
      <c r="E88" s="253">
        <v>0</v>
      </c>
      <c r="F88" s="253">
        <f t="shared" si="6"/>
        <v>0</v>
      </c>
      <c r="G88" s="197"/>
    </row>
    <row r="89" spans="2:7" ht="16.5" customHeight="1" x14ac:dyDescent="0.2">
      <c r="B89" s="78" t="s">
        <v>196</v>
      </c>
      <c r="C89" s="177">
        <v>446378</v>
      </c>
      <c r="D89" s="177">
        <v>447053</v>
      </c>
      <c r="E89" s="253">
        <v>144493</v>
      </c>
      <c r="F89" s="253">
        <f t="shared" si="6"/>
        <v>32.321223658045014</v>
      </c>
      <c r="G89" s="197"/>
    </row>
    <row r="90" spans="2:7" ht="16.5" customHeight="1" x14ac:dyDescent="0.2">
      <c r="B90" s="5" t="s">
        <v>214</v>
      </c>
      <c r="C90" s="177">
        <v>170000</v>
      </c>
      <c r="D90" s="177">
        <v>170000</v>
      </c>
      <c r="E90" s="253">
        <v>37483</v>
      </c>
      <c r="F90" s="253">
        <f t="shared" si="6"/>
        <v>22.048823529411766</v>
      </c>
      <c r="G90" s="197"/>
    </row>
    <row r="91" spans="2:7" ht="16.5" customHeight="1" x14ac:dyDescent="0.2">
      <c r="B91" s="6" t="s">
        <v>221</v>
      </c>
      <c r="C91" s="177"/>
      <c r="D91" s="177"/>
      <c r="E91" s="253"/>
      <c r="F91" s="253"/>
      <c r="G91" s="197"/>
    </row>
    <row r="92" spans="2:7" ht="16.5" customHeight="1" x14ac:dyDescent="0.25">
      <c r="B92" s="5" t="s">
        <v>213</v>
      </c>
      <c r="C92" s="173">
        <v>83354</v>
      </c>
      <c r="D92" s="173">
        <v>83354</v>
      </c>
      <c r="E92" s="249">
        <v>27090</v>
      </c>
      <c r="F92" s="249">
        <f t="shared" si="6"/>
        <v>32.499940014876309</v>
      </c>
      <c r="G92" s="196"/>
    </row>
    <row r="93" spans="2:7" ht="16.5" customHeight="1" x14ac:dyDescent="0.2">
      <c r="B93" s="5" t="s">
        <v>217</v>
      </c>
      <c r="C93" s="177">
        <v>32400</v>
      </c>
      <c r="D93" s="177">
        <v>32400</v>
      </c>
      <c r="E93" s="253">
        <v>13456</v>
      </c>
      <c r="F93" s="253">
        <f t="shared" si="6"/>
        <v>41.530864197530867</v>
      </c>
      <c r="G93" s="197"/>
    </row>
    <row r="94" spans="2:7" ht="16.5" customHeight="1" x14ac:dyDescent="0.2">
      <c r="B94" s="78" t="s">
        <v>196</v>
      </c>
      <c r="C94" s="177">
        <v>45521</v>
      </c>
      <c r="D94" s="177">
        <v>45521</v>
      </c>
      <c r="E94" s="253">
        <v>12544</v>
      </c>
      <c r="F94" s="253">
        <f t="shared" si="6"/>
        <v>27.556512378902042</v>
      </c>
      <c r="G94" s="197"/>
    </row>
    <row r="95" spans="2:7" ht="16.5" customHeight="1" x14ac:dyDescent="0.2">
      <c r="B95" s="82" t="s">
        <v>214</v>
      </c>
      <c r="C95" s="187">
        <v>6500</v>
      </c>
      <c r="D95" s="187">
        <v>6500</v>
      </c>
      <c r="E95" s="261">
        <v>3667</v>
      </c>
      <c r="F95" s="261">
        <f t="shared" si="6"/>
        <v>56.41538461538461</v>
      </c>
      <c r="G95" s="197"/>
    </row>
    <row r="96" spans="2:7" s="16" customFormat="1" ht="16.5" customHeight="1" x14ac:dyDescent="0.25">
      <c r="B96" s="83" t="s">
        <v>243</v>
      </c>
      <c r="C96" s="188">
        <v>40118</v>
      </c>
      <c r="D96" s="188">
        <v>40118</v>
      </c>
      <c r="E96" s="262">
        <v>14731.14</v>
      </c>
      <c r="F96" s="262">
        <f t="shared" si="6"/>
        <v>36.719527394187146</v>
      </c>
      <c r="G96" s="196"/>
    </row>
    <row r="97" spans="2:7" s="16" customFormat="1" ht="16.5" customHeight="1" x14ac:dyDescent="0.2">
      <c r="B97" s="84" t="s">
        <v>196</v>
      </c>
      <c r="C97" s="187">
        <v>25607</v>
      </c>
      <c r="D97" s="187">
        <v>25607</v>
      </c>
      <c r="E97" s="261">
        <v>9795</v>
      </c>
      <c r="F97" s="261">
        <f t="shared" si="6"/>
        <v>38.251259421252001</v>
      </c>
      <c r="G97" s="197"/>
    </row>
    <row r="98" spans="2:7" ht="16.5" customHeight="1" thickBot="1" x14ac:dyDescent="0.25">
      <c r="B98" s="8" t="s">
        <v>214</v>
      </c>
      <c r="C98" s="189">
        <v>2000</v>
      </c>
      <c r="D98" s="189">
        <v>2000</v>
      </c>
      <c r="E98" s="263">
        <v>331</v>
      </c>
      <c r="F98" s="263">
        <f t="shared" si="6"/>
        <v>16.55</v>
      </c>
      <c r="G98" s="197"/>
    </row>
    <row r="99" spans="2:7" ht="17.100000000000001" customHeight="1" x14ac:dyDescent="0.2">
      <c r="B99" s="79"/>
      <c r="C99" s="10"/>
      <c r="D99" s="10"/>
      <c r="E99" s="10"/>
      <c r="F99" s="10"/>
      <c r="G99" s="10"/>
    </row>
  </sheetData>
  <sheetProtection sheet="1" objects="1" scenarios="1"/>
  <mergeCells count="10">
    <mergeCell ref="B31:F31"/>
    <mergeCell ref="B32:F32"/>
    <mergeCell ref="B61:F61"/>
    <mergeCell ref="B62:F62"/>
    <mergeCell ref="B63:F63"/>
    <mergeCell ref="B2:F2"/>
    <mergeCell ref="B3:F3"/>
    <mergeCell ref="B4:F4"/>
    <mergeCell ref="B5:F5"/>
    <mergeCell ref="B30:F30"/>
  </mergeCells>
  <pageMargins left="0.78740157480314965" right="0.78740157480314965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28" max="6" man="1"/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N358"/>
  <sheetViews>
    <sheetView zoomScaleNormal="100" workbookViewId="0"/>
  </sheetViews>
  <sheetFormatPr defaultRowHeight="12.75" x14ac:dyDescent="0.2"/>
  <cols>
    <col min="1" max="1" width="30.42578125" style="413" customWidth="1"/>
    <col min="2" max="2" width="10.7109375" style="414" customWidth="1"/>
    <col min="3" max="3" width="11.28515625" style="414" customWidth="1"/>
    <col min="4" max="4" width="12.140625" style="414" customWidth="1"/>
    <col min="5" max="5" width="7.85546875" style="414" customWidth="1"/>
    <col min="6" max="7" width="11.42578125" style="414" customWidth="1"/>
    <col min="8" max="8" width="11.85546875" style="414" customWidth="1"/>
    <col min="9" max="9" width="9" style="414" customWidth="1"/>
    <col min="10" max="10" width="12.7109375" style="267" customWidth="1"/>
    <col min="11" max="248" width="8.85546875" style="267"/>
    <col min="249" max="249" width="27.28515625" style="267" customWidth="1"/>
    <col min="250" max="250" width="10.7109375" style="267" customWidth="1"/>
    <col min="251" max="251" width="9.7109375" style="267" customWidth="1"/>
    <col min="252" max="252" width="12.5703125" style="267" customWidth="1"/>
    <col min="253" max="253" width="10.28515625" style="267" customWidth="1"/>
    <col min="254" max="254" width="13.140625" style="267" customWidth="1"/>
    <col min="255" max="255" width="9.7109375" style="267" customWidth="1"/>
    <col min="256" max="256" width="11.7109375" style="267" customWidth="1"/>
    <col min="257" max="257" width="9.7109375" style="267" customWidth="1"/>
    <col min="258" max="258" width="9.140625" style="267" customWidth="1"/>
    <col min="259" max="504" width="8.85546875" style="267"/>
    <col min="505" max="505" width="27.28515625" style="267" customWidth="1"/>
    <col min="506" max="506" width="10.7109375" style="267" customWidth="1"/>
    <col min="507" max="507" width="9.7109375" style="267" customWidth="1"/>
    <col min="508" max="508" width="12.5703125" style="267" customWidth="1"/>
    <col min="509" max="509" width="10.28515625" style="267" customWidth="1"/>
    <col min="510" max="510" width="13.140625" style="267" customWidth="1"/>
    <col min="511" max="511" width="9.7109375" style="267" customWidth="1"/>
    <col min="512" max="512" width="11.7109375" style="267" customWidth="1"/>
    <col min="513" max="513" width="9.7109375" style="267" customWidth="1"/>
    <col min="514" max="514" width="9.140625" style="267" customWidth="1"/>
    <col min="515" max="760" width="8.85546875" style="267"/>
    <col min="761" max="761" width="27.28515625" style="267" customWidth="1"/>
    <col min="762" max="762" width="10.7109375" style="267" customWidth="1"/>
    <col min="763" max="763" width="9.7109375" style="267" customWidth="1"/>
    <col min="764" max="764" width="12.5703125" style="267" customWidth="1"/>
    <col min="765" max="765" width="10.28515625" style="267" customWidth="1"/>
    <col min="766" max="766" width="13.140625" style="267" customWidth="1"/>
    <col min="767" max="767" width="9.7109375" style="267" customWidth="1"/>
    <col min="768" max="768" width="11.7109375" style="267" customWidth="1"/>
    <col min="769" max="769" width="9.7109375" style="267" customWidth="1"/>
    <col min="770" max="770" width="9.140625" style="267" customWidth="1"/>
    <col min="771" max="1016" width="8.85546875" style="267"/>
    <col min="1017" max="1017" width="27.28515625" style="267" customWidth="1"/>
    <col min="1018" max="1018" width="10.7109375" style="267" customWidth="1"/>
    <col min="1019" max="1019" width="9.7109375" style="267" customWidth="1"/>
    <col min="1020" max="1020" width="12.5703125" style="267" customWidth="1"/>
    <col min="1021" max="1021" width="10.28515625" style="267" customWidth="1"/>
    <col min="1022" max="1022" width="13.140625" style="267" customWidth="1"/>
    <col min="1023" max="1023" width="9.7109375" style="267" customWidth="1"/>
    <col min="1024" max="1024" width="11.7109375" style="267" customWidth="1"/>
    <col min="1025" max="1025" width="9.7109375" style="267" customWidth="1"/>
    <col min="1026" max="1026" width="9.140625" style="267" customWidth="1"/>
    <col min="1027" max="1272" width="8.85546875" style="267"/>
    <col min="1273" max="1273" width="27.28515625" style="267" customWidth="1"/>
    <col min="1274" max="1274" width="10.7109375" style="267" customWidth="1"/>
    <col min="1275" max="1275" width="9.7109375" style="267" customWidth="1"/>
    <col min="1276" max="1276" width="12.5703125" style="267" customWidth="1"/>
    <col min="1277" max="1277" width="10.28515625" style="267" customWidth="1"/>
    <col min="1278" max="1278" width="13.140625" style="267" customWidth="1"/>
    <col min="1279" max="1279" width="9.7109375" style="267" customWidth="1"/>
    <col min="1280" max="1280" width="11.7109375" style="267" customWidth="1"/>
    <col min="1281" max="1281" width="9.7109375" style="267" customWidth="1"/>
    <col min="1282" max="1282" width="9.140625" style="267" customWidth="1"/>
    <col min="1283" max="1528" width="8.85546875" style="267"/>
    <col min="1529" max="1529" width="27.28515625" style="267" customWidth="1"/>
    <col min="1530" max="1530" width="10.7109375" style="267" customWidth="1"/>
    <col min="1531" max="1531" width="9.7109375" style="267" customWidth="1"/>
    <col min="1532" max="1532" width="12.5703125" style="267" customWidth="1"/>
    <col min="1533" max="1533" width="10.28515625" style="267" customWidth="1"/>
    <col min="1534" max="1534" width="13.140625" style="267" customWidth="1"/>
    <col min="1535" max="1535" width="9.7109375" style="267" customWidth="1"/>
    <col min="1536" max="1536" width="11.7109375" style="267" customWidth="1"/>
    <col min="1537" max="1537" width="9.7109375" style="267" customWidth="1"/>
    <col min="1538" max="1538" width="9.140625" style="267" customWidth="1"/>
    <col min="1539" max="1784" width="8.85546875" style="267"/>
    <col min="1785" max="1785" width="27.28515625" style="267" customWidth="1"/>
    <col min="1786" max="1786" width="10.7109375" style="267" customWidth="1"/>
    <col min="1787" max="1787" width="9.7109375" style="267" customWidth="1"/>
    <col min="1788" max="1788" width="12.5703125" style="267" customWidth="1"/>
    <col min="1789" max="1789" width="10.28515625" style="267" customWidth="1"/>
    <col min="1790" max="1790" width="13.140625" style="267" customWidth="1"/>
    <col min="1791" max="1791" width="9.7109375" style="267" customWidth="1"/>
    <col min="1792" max="1792" width="11.7109375" style="267" customWidth="1"/>
    <col min="1793" max="1793" width="9.7109375" style="267" customWidth="1"/>
    <col min="1794" max="1794" width="9.140625" style="267" customWidth="1"/>
    <col min="1795" max="2040" width="8.85546875" style="267"/>
    <col min="2041" max="2041" width="27.28515625" style="267" customWidth="1"/>
    <col min="2042" max="2042" width="10.7109375" style="267" customWidth="1"/>
    <col min="2043" max="2043" width="9.7109375" style="267" customWidth="1"/>
    <col min="2044" max="2044" width="12.5703125" style="267" customWidth="1"/>
    <col min="2045" max="2045" width="10.28515625" style="267" customWidth="1"/>
    <col min="2046" max="2046" width="13.140625" style="267" customWidth="1"/>
    <col min="2047" max="2047" width="9.7109375" style="267" customWidth="1"/>
    <col min="2048" max="2048" width="11.7109375" style="267" customWidth="1"/>
    <col min="2049" max="2049" width="9.7109375" style="267" customWidth="1"/>
    <col min="2050" max="2050" width="9.140625" style="267" customWidth="1"/>
    <col min="2051" max="2296" width="8.85546875" style="267"/>
    <col min="2297" max="2297" width="27.28515625" style="267" customWidth="1"/>
    <col min="2298" max="2298" width="10.7109375" style="267" customWidth="1"/>
    <col min="2299" max="2299" width="9.7109375" style="267" customWidth="1"/>
    <col min="2300" max="2300" width="12.5703125" style="267" customWidth="1"/>
    <col min="2301" max="2301" width="10.28515625" style="267" customWidth="1"/>
    <col min="2302" max="2302" width="13.140625" style="267" customWidth="1"/>
    <col min="2303" max="2303" width="9.7109375" style="267" customWidth="1"/>
    <col min="2304" max="2304" width="11.7109375" style="267" customWidth="1"/>
    <col min="2305" max="2305" width="9.7109375" style="267" customWidth="1"/>
    <col min="2306" max="2306" width="9.140625" style="267" customWidth="1"/>
    <col min="2307" max="2552" width="8.85546875" style="267"/>
    <col min="2553" max="2553" width="27.28515625" style="267" customWidth="1"/>
    <col min="2554" max="2554" width="10.7109375" style="267" customWidth="1"/>
    <col min="2555" max="2555" width="9.7109375" style="267" customWidth="1"/>
    <col min="2556" max="2556" width="12.5703125" style="267" customWidth="1"/>
    <col min="2557" max="2557" width="10.28515625" style="267" customWidth="1"/>
    <col min="2558" max="2558" width="13.140625" style="267" customWidth="1"/>
    <col min="2559" max="2559" width="9.7109375" style="267" customWidth="1"/>
    <col min="2560" max="2560" width="11.7109375" style="267" customWidth="1"/>
    <col min="2561" max="2561" width="9.7109375" style="267" customWidth="1"/>
    <col min="2562" max="2562" width="9.140625" style="267" customWidth="1"/>
    <col min="2563" max="2808" width="8.85546875" style="267"/>
    <col min="2809" max="2809" width="27.28515625" style="267" customWidth="1"/>
    <col min="2810" max="2810" width="10.7109375" style="267" customWidth="1"/>
    <col min="2811" max="2811" width="9.7109375" style="267" customWidth="1"/>
    <col min="2812" max="2812" width="12.5703125" style="267" customWidth="1"/>
    <col min="2813" max="2813" width="10.28515625" style="267" customWidth="1"/>
    <col min="2814" max="2814" width="13.140625" style="267" customWidth="1"/>
    <col min="2815" max="2815" width="9.7109375" style="267" customWidth="1"/>
    <col min="2816" max="2816" width="11.7109375" style="267" customWidth="1"/>
    <col min="2817" max="2817" width="9.7109375" style="267" customWidth="1"/>
    <col min="2818" max="2818" width="9.140625" style="267" customWidth="1"/>
    <col min="2819" max="3064" width="8.85546875" style="267"/>
    <col min="3065" max="3065" width="27.28515625" style="267" customWidth="1"/>
    <col min="3066" max="3066" width="10.7109375" style="267" customWidth="1"/>
    <col min="3067" max="3067" width="9.7109375" style="267" customWidth="1"/>
    <col min="3068" max="3068" width="12.5703125" style="267" customWidth="1"/>
    <col min="3069" max="3069" width="10.28515625" style="267" customWidth="1"/>
    <col min="3070" max="3070" width="13.140625" style="267" customWidth="1"/>
    <col min="3071" max="3071" width="9.7109375" style="267" customWidth="1"/>
    <col min="3072" max="3072" width="11.7109375" style="267" customWidth="1"/>
    <col min="3073" max="3073" width="9.7109375" style="267" customWidth="1"/>
    <col min="3074" max="3074" width="9.140625" style="267" customWidth="1"/>
    <col min="3075" max="3320" width="8.85546875" style="267"/>
    <col min="3321" max="3321" width="27.28515625" style="267" customWidth="1"/>
    <col min="3322" max="3322" width="10.7109375" style="267" customWidth="1"/>
    <col min="3323" max="3323" width="9.7109375" style="267" customWidth="1"/>
    <col min="3324" max="3324" width="12.5703125" style="267" customWidth="1"/>
    <col min="3325" max="3325" width="10.28515625" style="267" customWidth="1"/>
    <col min="3326" max="3326" width="13.140625" style="267" customWidth="1"/>
    <col min="3327" max="3327" width="9.7109375" style="267" customWidth="1"/>
    <col min="3328" max="3328" width="11.7109375" style="267" customWidth="1"/>
    <col min="3329" max="3329" width="9.7109375" style="267" customWidth="1"/>
    <col min="3330" max="3330" width="9.140625" style="267" customWidth="1"/>
    <col min="3331" max="3576" width="8.85546875" style="267"/>
    <col min="3577" max="3577" width="27.28515625" style="267" customWidth="1"/>
    <col min="3578" max="3578" width="10.7109375" style="267" customWidth="1"/>
    <col min="3579" max="3579" width="9.7109375" style="267" customWidth="1"/>
    <col min="3580" max="3580" width="12.5703125" style="267" customWidth="1"/>
    <col min="3581" max="3581" width="10.28515625" style="267" customWidth="1"/>
    <col min="3582" max="3582" width="13.140625" style="267" customWidth="1"/>
    <col min="3583" max="3583" width="9.7109375" style="267" customWidth="1"/>
    <col min="3584" max="3584" width="11.7109375" style="267" customWidth="1"/>
    <col min="3585" max="3585" width="9.7109375" style="267" customWidth="1"/>
    <col min="3586" max="3586" width="9.140625" style="267" customWidth="1"/>
    <col min="3587" max="3832" width="8.85546875" style="267"/>
    <col min="3833" max="3833" width="27.28515625" style="267" customWidth="1"/>
    <col min="3834" max="3834" width="10.7109375" style="267" customWidth="1"/>
    <col min="3835" max="3835" width="9.7109375" style="267" customWidth="1"/>
    <col min="3836" max="3836" width="12.5703125" style="267" customWidth="1"/>
    <col min="3837" max="3837" width="10.28515625" style="267" customWidth="1"/>
    <col min="3838" max="3838" width="13.140625" style="267" customWidth="1"/>
    <col min="3839" max="3839" width="9.7109375" style="267" customWidth="1"/>
    <col min="3840" max="3840" width="11.7109375" style="267" customWidth="1"/>
    <col min="3841" max="3841" width="9.7109375" style="267" customWidth="1"/>
    <col min="3842" max="3842" width="9.140625" style="267" customWidth="1"/>
    <col min="3843" max="4088" width="8.85546875" style="267"/>
    <col min="4089" max="4089" width="27.28515625" style="267" customWidth="1"/>
    <col min="4090" max="4090" width="10.7109375" style="267" customWidth="1"/>
    <col min="4091" max="4091" width="9.7109375" style="267" customWidth="1"/>
    <col min="4092" max="4092" width="12.5703125" style="267" customWidth="1"/>
    <col min="4093" max="4093" width="10.28515625" style="267" customWidth="1"/>
    <col min="4094" max="4094" width="13.140625" style="267" customWidth="1"/>
    <col min="4095" max="4095" width="9.7109375" style="267" customWidth="1"/>
    <col min="4096" max="4096" width="11.7109375" style="267" customWidth="1"/>
    <col min="4097" max="4097" width="9.7109375" style="267" customWidth="1"/>
    <col min="4098" max="4098" width="9.140625" style="267" customWidth="1"/>
    <col min="4099" max="4344" width="8.85546875" style="267"/>
    <col min="4345" max="4345" width="27.28515625" style="267" customWidth="1"/>
    <col min="4346" max="4346" width="10.7109375" style="267" customWidth="1"/>
    <col min="4347" max="4347" width="9.7109375" style="267" customWidth="1"/>
    <col min="4348" max="4348" width="12.5703125" style="267" customWidth="1"/>
    <col min="4349" max="4349" width="10.28515625" style="267" customWidth="1"/>
    <col min="4350" max="4350" width="13.140625" style="267" customWidth="1"/>
    <col min="4351" max="4351" width="9.7109375" style="267" customWidth="1"/>
    <col min="4352" max="4352" width="11.7109375" style="267" customWidth="1"/>
    <col min="4353" max="4353" width="9.7109375" style="267" customWidth="1"/>
    <col min="4354" max="4354" width="9.140625" style="267" customWidth="1"/>
    <col min="4355" max="4600" width="8.85546875" style="267"/>
    <col min="4601" max="4601" width="27.28515625" style="267" customWidth="1"/>
    <col min="4602" max="4602" width="10.7109375" style="267" customWidth="1"/>
    <col min="4603" max="4603" width="9.7109375" style="267" customWidth="1"/>
    <col min="4604" max="4604" width="12.5703125" style="267" customWidth="1"/>
    <col min="4605" max="4605" width="10.28515625" style="267" customWidth="1"/>
    <col min="4606" max="4606" width="13.140625" style="267" customWidth="1"/>
    <col min="4607" max="4607" width="9.7109375" style="267" customWidth="1"/>
    <col min="4608" max="4608" width="11.7109375" style="267" customWidth="1"/>
    <col min="4609" max="4609" width="9.7109375" style="267" customWidth="1"/>
    <col min="4610" max="4610" width="9.140625" style="267" customWidth="1"/>
    <col min="4611" max="4856" width="8.85546875" style="267"/>
    <col min="4857" max="4857" width="27.28515625" style="267" customWidth="1"/>
    <col min="4858" max="4858" width="10.7109375" style="267" customWidth="1"/>
    <col min="4859" max="4859" width="9.7109375" style="267" customWidth="1"/>
    <col min="4860" max="4860" width="12.5703125" style="267" customWidth="1"/>
    <col min="4861" max="4861" width="10.28515625" style="267" customWidth="1"/>
    <col min="4862" max="4862" width="13.140625" style="267" customWidth="1"/>
    <col min="4863" max="4863" width="9.7109375" style="267" customWidth="1"/>
    <col min="4864" max="4864" width="11.7109375" style="267" customWidth="1"/>
    <col min="4865" max="4865" width="9.7109375" style="267" customWidth="1"/>
    <col min="4866" max="4866" width="9.140625" style="267" customWidth="1"/>
    <col min="4867" max="5112" width="8.85546875" style="267"/>
    <col min="5113" max="5113" width="27.28515625" style="267" customWidth="1"/>
    <col min="5114" max="5114" width="10.7109375" style="267" customWidth="1"/>
    <col min="5115" max="5115" width="9.7109375" style="267" customWidth="1"/>
    <col min="5116" max="5116" width="12.5703125" style="267" customWidth="1"/>
    <col min="5117" max="5117" width="10.28515625" style="267" customWidth="1"/>
    <col min="5118" max="5118" width="13.140625" style="267" customWidth="1"/>
    <col min="5119" max="5119" width="9.7109375" style="267" customWidth="1"/>
    <col min="5120" max="5120" width="11.7109375" style="267" customWidth="1"/>
    <col min="5121" max="5121" width="9.7109375" style="267" customWidth="1"/>
    <col min="5122" max="5122" width="9.140625" style="267" customWidth="1"/>
    <col min="5123" max="5368" width="8.85546875" style="267"/>
    <col min="5369" max="5369" width="27.28515625" style="267" customWidth="1"/>
    <col min="5370" max="5370" width="10.7109375" style="267" customWidth="1"/>
    <col min="5371" max="5371" width="9.7109375" style="267" customWidth="1"/>
    <col min="5372" max="5372" width="12.5703125" style="267" customWidth="1"/>
    <col min="5373" max="5373" width="10.28515625" style="267" customWidth="1"/>
    <col min="5374" max="5374" width="13.140625" style="267" customWidth="1"/>
    <col min="5375" max="5375" width="9.7109375" style="267" customWidth="1"/>
    <col min="5376" max="5376" width="11.7109375" style="267" customWidth="1"/>
    <col min="5377" max="5377" width="9.7109375" style="267" customWidth="1"/>
    <col min="5378" max="5378" width="9.140625" style="267" customWidth="1"/>
    <col min="5379" max="5624" width="8.85546875" style="267"/>
    <col min="5625" max="5625" width="27.28515625" style="267" customWidth="1"/>
    <col min="5626" max="5626" width="10.7109375" style="267" customWidth="1"/>
    <col min="5627" max="5627" width="9.7109375" style="267" customWidth="1"/>
    <col min="5628" max="5628" width="12.5703125" style="267" customWidth="1"/>
    <col min="5629" max="5629" width="10.28515625" style="267" customWidth="1"/>
    <col min="5630" max="5630" width="13.140625" style="267" customWidth="1"/>
    <col min="5631" max="5631" width="9.7109375" style="267" customWidth="1"/>
    <col min="5632" max="5632" width="11.7109375" style="267" customWidth="1"/>
    <col min="5633" max="5633" width="9.7109375" style="267" customWidth="1"/>
    <col min="5634" max="5634" width="9.140625" style="267" customWidth="1"/>
    <col min="5635" max="5880" width="8.85546875" style="267"/>
    <col min="5881" max="5881" width="27.28515625" style="267" customWidth="1"/>
    <col min="5882" max="5882" width="10.7109375" style="267" customWidth="1"/>
    <col min="5883" max="5883" width="9.7109375" style="267" customWidth="1"/>
    <col min="5884" max="5884" width="12.5703125" style="267" customWidth="1"/>
    <col min="5885" max="5885" width="10.28515625" style="267" customWidth="1"/>
    <col min="5886" max="5886" width="13.140625" style="267" customWidth="1"/>
    <col min="5887" max="5887" width="9.7109375" style="267" customWidth="1"/>
    <col min="5888" max="5888" width="11.7109375" style="267" customWidth="1"/>
    <col min="5889" max="5889" width="9.7109375" style="267" customWidth="1"/>
    <col min="5890" max="5890" width="9.140625" style="267" customWidth="1"/>
    <col min="5891" max="6136" width="8.85546875" style="267"/>
    <col min="6137" max="6137" width="27.28515625" style="267" customWidth="1"/>
    <col min="6138" max="6138" width="10.7109375" style="267" customWidth="1"/>
    <col min="6139" max="6139" width="9.7109375" style="267" customWidth="1"/>
    <col min="6140" max="6140" width="12.5703125" style="267" customWidth="1"/>
    <col min="6141" max="6141" width="10.28515625" style="267" customWidth="1"/>
    <col min="6142" max="6142" width="13.140625" style="267" customWidth="1"/>
    <col min="6143" max="6143" width="9.7109375" style="267" customWidth="1"/>
    <col min="6144" max="6144" width="11.7109375" style="267" customWidth="1"/>
    <col min="6145" max="6145" width="9.7109375" style="267" customWidth="1"/>
    <col min="6146" max="6146" width="9.140625" style="267" customWidth="1"/>
    <col min="6147" max="6392" width="8.85546875" style="267"/>
    <col min="6393" max="6393" width="27.28515625" style="267" customWidth="1"/>
    <col min="6394" max="6394" width="10.7109375" style="267" customWidth="1"/>
    <col min="6395" max="6395" width="9.7109375" style="267" customWidth="1"/>
    <col min="6396" max="6396" width="12.5703125" style="267" customWidth="1"/>
    <col min="6397" max="6397" width="10.28515625" style="267" customWidth="1"/>
    <col min="6398" max="6398" width="13.140625" style="267" customWidth="1"/>
    <col min="6399" max="6399" width="9.7109375" style="267" customWidth="1"/>
    <col min="6400" max="6400" width="11.7109375" style="267" customWidth="1"/>
    <col min="6401" max="6401" width="9.7109375" style="267" customWidth="1"/>
    <col min="6402" max="6402" width="9.140625" style="267" customWidth="1"/>
    <col min="6403" max="6648" width="8.85546875" style="267"/>
    <col min="6649" max="6649" width="27.28515625" style="267" customWidth="1"/>
    <col min="6650" max="6650" width="10.7109375" style="267" customWidth="1"/>
    <col min="6651" max="6651" width="9.7109375" style="267" customWidth="1"/>
    <col min="6652" max="6652" width="12.5703125" style="267" customWidth="1"/>
    <col min="6653" max="6653" width="10.28515625" style="267" customWidth="1"/>
    <col min="6654" max="6654" width="13.140625" style="267" customWidth="1"/>
    <col min="6655" max="6655" width="9.7109375" style="267" customWidth="1"/>
    <col min="6656" max="6656" width="11.7109375" style="267" customWidth="1"/>
    <col min="6657" max="6657" width="9.7109375" style="267" customWidth="1"/>
    <col min="6658" max="6658" width="9.140625" style="267" customWidth="1"/>
    <col min="6659" max="6904" width="8.85546875" style="267"/>
    <col min="6905" max="6905" width="27.28515625" style="267" customWidth="1"/>
    <col min="6906" max="6906" width="10.7109375" style="267" customWidth="1"/>
    <col min="6907" max="6907" width="9.7109375" style="267" customWidth="1"/>
    <col min="6908" max="6908" width="12.5703125" style="267" customWidth="1"/>
    <col min="6909" max="6909" width="10.28515625" style="267" customWidth="1"/>
    <col min="6910" max="6910" width="13.140625" style="267" customWidth="1"/>
    <col min="6911" max="6911" width="9.7109375" style="267" customWidth="1"/>
    <col min="6912" max="6912" width="11.7109375" style="267" customWidth="1"/>
    <col min="6913" max="6913" width="9.7109375" style="267" customWidth="1"/>
    <col min="6914" max="6914" width="9.140625" style="267" customWidth="1"/>
    <col min="6915" max="7160" width="8.85546875" style="267"/>
    <col min="7161" max="7161" width="27.28515625" style="267" customWidth="1"/>
    <col min="7162" max="7162" width="10.7109375" style="267" customWidth="1"/>
    <col min="7163" max="7163" width="9.7109375" style="267" customWidth="1"/>
    <col min="7164" max="7164" width="12.5703125" style="267" customWidth="1"/>
    <col min="7165" max="7165" width="10.28515625" style="267" customWidth="1"/>
    <col min="7166" max="7166" width="13.140625" style="267" customWidth="1"/>
    <col min="7167" max="7167" width="9.7109375" style="267" customWidth="1"/>
    <col min="7168" max="7168" width="11.7109375" style="267" customWidth="1"/>
    <col min="7169" max="7169" width="9.7109375" style="267" customWidth="1"/>
    <col min="7170" max="7170" width="9.140625" style="267" customWidth="1"/>
    <col min="7171" max="7416" width="8.85546875" style="267"/>
    <col min="7417" max="7417" width="27.28515625" style="267" customWidth="1"/>
    <col min="7418" max="7418" width="10.7109375" style="267" customWidth="1"/>
    <col min="7419" max="7419" width="9.7109375" style="267" customWidth="1"/>
    <col min="7420" max="7420" width="12.5703125" style="267" customWidth="1"/>
    <col min="7421" max="7421" width="10.28515625" style="267" customWidth="1"/>
    <col min="7422" max="7422" width="13.140625" style="267" customWidth="1"/>
    <col min="7423" max="7423" width="9.7109375" style="267" customWidth="1"/>
    <col min="7424" max="7424" width="11.7109375" style="267" customWidth="1"/>
    <col min="7425" max="7425" width="9.7109375" style="267" customWidth="1"/>
    <col min="7426" max="7426" width="9.140625" style="267" customWidth="1"/>
    <col min="7427" max="7672" width="8.85546875" style="267"/>
    <col min="7673" max="7673" width="27.28515625" style="267" customWidth="1"/>
    <col min="7674" max="7674" width="10.7109375" style="267" customWidth="1"/>
    <col min="7675" max="7675" width="9.7109375" style="267" customWidth="1"/>
    <col min="7676" max="7676" width="12.5703125" style="267" customWidth="1"/>
    <col min="7677" max="7677" width="10.28515625" style="267" customWidth="1"/>
    <col min="7678" max="7678" width="13.140625" style="267" customWidth="1"/>
    <col min="7679" max="7679" width="9.7109375" style="267" customWidth="1"/>
    <col min="7680" max="7680" width="11.7109375" style="267" customWidth="1"/>
    <col min="7681" max="7681" width="9.7109375" style="267" customWidth="1"/>
    <col min="7682" max="7682" width="9.140625" style="267" customWidth="1"/>
    <col min="7683" max="7928" width="8.85546875" style="267"/>
    <col min="7929" max="7929" width="27.28515625" style="267" customWidth="1"/>
    <col min="7930" max="7930" width="10.7109375" style="267" customWidth="1"/>
    <col min="7931" max="7931" width="9.7109375" style="267" customWidth="1"/>
    <col min="7932" max="7932" width="12.5703125" style="267" customWidth="1"/>
    <col min="7933" max="7933" width="10.28515625" style="267" customWidth="1"/>
    <col min="7934" max="7934" width="13.140625" style="267" customWidth="1"/>
    <col min="7935" max="7935" width="9.7109375" style="267" customWidth="1"/>
    <col min="7936" max="7936" width="11.7109375" style="267" customWidth="1"/>
    <col min="7937" max="7937" width="9.7109375" style="267" customWidth="1"/>
    <col min="7938" max="7938" width="9.140625" style="267" customWidth="1"/>
    <col min="7939" max="8184" width="8.85546875" style="267"/>
    <col min="8185" max="8185" width="27.28515625" style="267" customWidth="1"/>
    <col min="8186" max="8186" width="10.7109375" style="267" customWidth="1"/>
    <col min="8187" max="8187" width="9.7109375" style="267" customWidth="1"/>
    <col min="8188" max="8188" width="12.5703125" style="267" customWidth="1"/>
    <col min="8189" max="8189" width="10.28515625" style="267" customWidth="1"/>
    <col min="8190" max="8190" width="13.140625" style="267" customWidth="1"/>
    <col min="8191" max="8191" width="9.7109375" style="267" customWidth="1"/>
    <col min="8192" max="8192" width="11.7109375" style="267" customWidth="1"/>
    <col min="8193" max="8193" width="9.7109375" style="267" customWidth="1"/>
    <col min="8194" max="8194" width="9.140625" style="267" customWidth="1"/>
    <col min="8195" max="8440" width="8.85546875" style="267"/>
    <col min="8441" max="8441" width="27.28515625" style="267" customWidth="1"/>
    <col min="8442" max="8442" width="10.7109375" style="267" customWidth="1"/>
    <col min="8443" max="8443" width="9.7109375" style="267" customWidth="1"/>
    <col min="8444" max="8444" width="12.5703125" style="267" customWidth="1"/>
    <col min="8445" max="8445" width="10.28515625" style="267" customWidth="1"/>
    <col min="8446" max="8446" width="13.140625" style="267" customWidth="1"/>
    <col min="8447" max="8447" width="9.7109375" style="267" customWidth="1"/>
    <col min="8448" max="8448" width="11.7109375" style="267" customWidth="1"/>
    <col min="8449" max="8449" width="9.7109375" style="267" customWidth="1"/>
    <col min="8450" max="8450" width="9.140625" style="267" customWidth="1"/>
    <col min="8451" max="8696" width="8.85546875" style="267"/>
    <col min="8697" max="8697" width="27.28515625" style="267" customWidth="1"/>
    <col min="8698" max="8698" width="10.7109375" style="267" customWidth="1"/>
    <col min="8699" max="8699" width="9.7109375" style="267" customWidth="1"/>
    <col min="8700" max="8700" width="12.5703125" style="267" customWidth="1"/>
    <col min="8701" max="8701" width="10.28515625" style="267" customWidth="1"/>
    <col min="8702" max="8702" width="13.140625" style="267" customWidth="1"/>
    <col min="8703" max="8703" width="9.7109375" style="267" customWidth="1"/>
    <col min="8704" max="8704" width="11.7109375" style="267" customWidth="1"/>
    <col min="8705" max="8705" width="9.7109375" style="267" customWidth="1"/>
    <col min="8706" max="8706" width="9.140625" style="267" customWidth="1"/>
    <col min="8707" max="8952" width="8.85546875" style="267"/>
    <col min="8953" max="8953" width="27.28515625" style="267" customWidth="1"/>
    <col min="8954" max="8954" width="10.7109375" style="267" customWidth="1"/>
    <col min="8955" max="8955" width="9.7109375" style="267" customWidth="1"/>
    <col min="8956" max="8956" width="12.5703125" style="267" customWidth="1"/>
    <col min="8957" max="8957" width="10.28515625" style="267" customWidth="1"/>
    <col min="8958" max="8958" width="13.140625" style="267" customWidth="1"/>
    <col min="8959" max="8959" width="9.7109375" style="267" customWidth="1"/>
    <col min="8960" max="8960" width="11.7109375" style="267" customWidth="1"/>
    <col min="8961" max="8961" width="9.7109375" style="267" customWidth="1"/>
    <col min="8962" max="8962" width="9.140625" style="267" customWidth="1"/>
    <col min="8963" max="9208" width="8.85546875" style="267"/>
    <col min="9209" max="9209" width="27.28515625" style="267" customWidth="1"/>
    <col min="9210" max="9210" width="10.7109375" style="267" customWidth="1"/>
    <col min="9211" max="9211" width="9.7109375" style="267" customWidth="1"/>
    <col min="9212" max="9212" width="12.5703125" style="267" customWidth="1"/>
    <col min="9213" max="9213" width="10.28515625" style="267" customWidth="1"/>
    <col min="9214" max="9214" width="13.140625" style="267" customWidth="1"/>
    <col min="9215" max="9215" width="9.7109375" style="267" customWidth="1"/>
    <col min="9216" max="9216" width="11.7109375" style="267" customWidth="1"/>
    <col min="9217" max="9217" width="9.7109375" style="267" customWidth="1"/>
    <col min="9218" max="9218" width="9.140625" style="267" customWidth="1"/>
    <col min="9219" max="9464" width="8.85546875" style="267"/>
    <col min="9465" max="9465" width="27.28515625" style="267" customWidth="1"/>
    <col min="9466" max="9466" width="10.7109375" style="267" customWidth="1"/>
    <col min="9467" max="9467" width="9.7109375" style="267" customWidth="1"/>
    <col min="9468" max="9468" width="12.5703125" style="267" customWidth="1"/>
    <col min="9469" max="9469" width="10.28515625" style="267" customWidth="1"/>
    <col min="9470" max="9470" width="13.140625" style="267" customWidth="1"/>
    <col min="9471" max="9471" width="9.7109375" style="267" customWidth="1"/>
    <col min="9472" max="9472" width="11.7109375" style="267" customWidth="1"/>
    <col min="9473" max="9473" width="9.7109375" style="267" customWidth="1"/>
    <col min="9474" max="9474" width="9.140625" style="267" customWidth="1"/>
    <col min="9475" max="9720" width="8.85546875" style="267"/>
    <col min="9721" max="9721" width="27.28515625" style="267" customWidth="1"/>
    <col min="9722" max="9722" width="10.7109375" style="267" customWidth="1"/>
    <col min="9723" max="9723" width="9.7109375" style="267" customWidth="1"/>
    <col min="9724" max="9724" width="12.5703125" style="267" customWidth="1"/>
    <col min="9725" max="9725" width="10.28515625" style="267" customWidth="1"/>
    <col min="9726" max="9726" width="13.140625" style="267" customWidth="1"/>
    <col min="9727" max="9727" width="9.7109375" style="267" customWidth="1"/>
    <col min="9728" max="9728" width="11.7109375" style="267" customWidth="1"/>
    <col min="9729" max="9729" width="9.7109375" style="267" customWidth="1"/>
    <col min="9730" max="9730" width="9.140625" style="267" customWidth="1"/>
    <col min="9731" max="9976" width="8.85546875" style="267"/>
    <col min="9977" max="9977" width="27.28515625" style="267" customWidth="1"/>
    <col min="9978" max="9978" width="10.7109375" style="267" customWidth="1"/>
    <col min="9979" max="9979" width="9.7109375" style="267" customWidth="1"/>
    <col min="9980" max="9980" width="12.5703125" style="267" customWidth="1"/>
    <col min="9981" max="9981" width="10.28515625" style="267" customWidth="1"/>
    <col min="9982" max="9982" width="13.140625" style="267" customWidth="1"/>
    <col min="9983" max="9983" width="9.7109375" style="267" customWidth="1"/>
    <col min="9984" max="9984" width="11.7109375" style="267" customWidth="1"/>
    <col min="9985" max="9985" width="9.7109375" style="267" customWidth="1"/>
    <col min="9986" max="9986" width="9.140625" style="267" customWidth="1"/>
    <col min="9987" max="10232" width="8.85546875" style="267"/>
    <col min="10233" max="10233" width="27.28515625" style="267" customWidth="1"/>
    <col min="10234" max="10234" width="10.7109375" style="267" customWidth="1"/>
    <col min="10235" max="10235" width="9.7109375" style="267" customWidth="1"/>
    <col min="10236" max="10236" width="12.5703125" style="267" customWidth="1"/>
    <col min="10237" max="10237" width="10.28515625" style="267" customWidth="1"/>
    <col min="10238" max="10238" width="13.140625" style="267" customWidth="1"/>
    <col min="10239" max="10239" width="9.7109375" style="267" customWidth="1"/>
    <col min="10240" max="10240" width="11.7109375" style="267" customWidth="1"/>
    <col min="10241" max="10241" width="9.7109375" style="267" customWidth="1"/>
    <col min="10242" max="10242" width="9.140625" style="267" customWidth="1"/>
    <col min="10243" max="10488" width="8.85546875" style="267"/>
    <col min="10489" max="10489" width="27.28515625" style="267" customWidth="1"/>
    <col min="10490" max="10490" width="10.7109375" style="267" customWidth="1"/>
    <col min="10491" max="10491" width="9.7109375" style="267" customWidth="1"/>
    <col min="10492" max="10492" width="12.5703125" style="267" customWidth="1"/>
    <col min="10493" max="10493" width="10.28515625" style="267" customWidth="1"/>
    <col min="10494" max="10494" width="13.140625" style="267" customWidth="1"/>
    <col min="10495" max="10495" width="9.7109375" style="267" customWidth="1"/>
    <col min="10496" max="10496" width="11.7109375" style="267" customWidth="1"/>
    <col min="10497" max="10497" width="9.7109375" style="267" customWidth="1"/>
    <col min="10498" max="10498" width="9.140625" style="267" customWidth="1"/>
    <col min="10499" max="10744" width="8.85546875" style="267"/>
    <col min="10745" max="10745" width="27.28515625" style="267" customWidth="1"/>
    <col min="10746" max="10746" width="10.7109375" style="267" customWidth="1"/>
    <col min="10747" max="10747" width="9.7109375" style="267" customWidth="1"/>
    <col min="10748" max="10748" width="12.5703125" style="267" customWidth="1"/>
    <col min="10749" max="10749" width="10.28515625" style="267" customWidth="1"/>
    <col min="10750" max="10750" width="13.140625" style="267" customWidth="1"/>
    <col min="10751" max="10751" width="9.7109375" style="267" customWidth="1"/>
    <col min="10752" max="10752" width="11.7109375" style="267" customWidth="1"/>
    <col min="10753" max="10753" width="9.7109375" style="267" customWidth="1"/>
    <col min="10754" max="10754" width="9.140625" style="267" customWidth="1"/>
    <col min="10755" max="11000" width="8.85546875" style="267"/>
    <col min="11001" max="11001" width="27.28515625" style="267" customWidth="1"/>
    <col min="11002" max="11002" width="10.7109375" style="267" customWidth="1"/>
    <col min="11003" max="11003" width="9.7109375" style="267" customWidth="1"/>
    <col min="11004" max="11004" width="12.5703125" style="267" customWidth="1"/>
    <col min="11005" max="11005" width="10.28515625" style="267" customWidth="1"/>
    <col min="11006" max="11006" width="13.140625" style="267" customWidth="1"/>
    <col min="11007" max="11007" width="9.7109375" style="267" customWidth="1"/>
    <col min="11008" max="11008" width="11.7109375" style="267" customWidth="1"/>
    <col min="11009" max="11009" width="9.7109375" style="267" customWidth="1"/>
    <col min="11010" max="11010" width="9.140625" style="267" customWidth="1"/>
    <col min="11011" max="11256" width="8.85546875" style="267"/>
    <col min="11257" max="11257" width="27.28515625" style="267" customWidth="1"/>
    <col min="11258" max="11258" width="10.7109375" style="267" customWidth="1"/>
    <col min="11259" max="11259" width="9.7109375" style="267" customWidth="1"/>
    <col min="11260" max="11260" width="12.5703125" style="267" customWidth="1"/>
    <col min="11261" max="11261" width="10.28515625" style="267" customWidth="1"/>
    <col min="11262" max="11262" width="13.140625" style="267" customWidth="1"/>
    <col min="11263" max="11263" width="9.7109375" style="267" customWidth="1"/>
    <col min="11264" max="11264" width="11.7109375" style="267" customWidth="1"/>
    <col min="11265" max="11265" width="9.7109375" style="267" customWidth="1"/>
    <col min="11266" max="11266" width="9.140625" style="267" customWidth="1"/>
    <col min="11267" max="11512" width="8.85546875" style="267"/>
    <col min="11513" max="11513" width="27.28515625" style="267" customWidth="1"/>
    <col min="11514" max="11514" width="10.7109375" style="267" customWidth="1"/>
    <col min="11515" max="11515" width="9.7109375" style="267" customWidth="1"/>
    <col min="11516" max="11516" width="12.5703125" style="267" customWidth="1"/>
    <col min="11517" max="11517" width="10.28515625" style="267" customWidth="1"/>
    <col min="11518" max="11518" width="13.140625" style="267" customWidth="1"/>
    <col min="11519" max="11519" width="9.7109375" style="267" customWidth="1"/>
    <col min="11520" max="11520" width="11.7109375" style="267" customWidth="1"/>
    <col min="11521" max="11521" width="9.7109375" style="267" customWidth="1"/>
    <col min="11522" max="11522" width="9.140625" style="267" customWidth="1"/>
    <col min="11523" max="11768" width="8.85546875" style="267"/>
    <col min="11769" max="11769" width="27.28515625" style="267" customWidth="1"/>
    <col min="11770" max="11770" width="10.7109375" style="267" customWidth="1"/>
    <col min="11771" max="11771" width="9.7109375" style="267" customWidth="1"/>
    <col min="11772" max="11772" width="12.5703125" style="267" customWidth="1"/>
    <col min="11773" max="11773" width="10.28515625" style="267" customWidth="1"/>
    <col min="11774" max="11774" width="13.140625" style="267" customWidth="1"/>
    <col min="11775" max="11775" width="9.7109375" style="267" customWidth="1"/>
    <col min="11776" max="11776" width="11.7109375" style="267" customWidth="1"/>
    <col min="11777" max="11777" width="9.7109375" style="267" customWidth="1"/>
    <col min="11778" max="11778" width="9.140625" style="267" customWidth="1"/>
    <col min="11779" max="12024" width="8.85546875" style="267"/>
    <col min="12025" max="12025" width="27.28515625" style="267" customWidth="1"/>
    <col min="12026" max="12026" width="10.7109375" style="267" customWidth="1"/>
    <col min="12027" max="12027" width="9.7109375" style="267" customWidth="1"/>
    <col min="12028" max="12028" width="12.5703125" style="267" customWidth="1"/>
    <col min="12029" max="12029" width="10.28515625" style="267" customWidth="1"/>
    <col min="12030" max="12030" width="13.140625" style="267" customWidth="1"/>
    <col min="12031" max="12031" width="9.7109375" style="267" customWidth="1"/>
    <col min="12032" max="12032" width="11.7109375" style="267" customWidth="1"/>
    <col min="12033" max="12033" width="9.7109375" style="267" customWidth="1"/>
    <col min="12034" max="12034" width="9.140625" style="267" customWidth="1"/>
    <col min="12035" max="12280" width="8.85546875" style="267"/>
    <col min="12281" max="12281" width="27.28515625" style="267" customWidth="1"/>
    <col min="12282" max="12282" width="10.7109375" style="267" customWidth="1"/>
    <col min="12283" max="12283" width="9.7109375" style="267" customWidth="1"/>
    <col min="12284" max="12284" width="12.5703125" style="267" customWidth="1"/>
    <col min="12285" max="12285" width="10.28515625" style="267" customWidth="1"/>
    <col min="12286" max="12286" width="13.140625" style="267" customWidth="1"/>
    <col min="12287" max="12287" width="9.7109375" style="267" customWidth="1"/>
    <col min="12288" max="12288" width="11.7109375" style="267" customWidth="1"/>
    <col min="12289" max="12289" width="9.7109375" style="267" customWidth="1"/>
    <col min="12290" max="12290" width="9.140625" style="267" customWidth="1"/>
    <col min="12291" max="12536" width="8.85546875" style="267"/>
    <col min="12537" max="12537" width="27.28515625" style="267" customWidth="1"/>
    <col min="12538" max="12538" width="10.7109375" style="267" customWidth="1"/>
    <col min="12539" max="12539" width="9.7109375" style="267" customWidth="1"/>
    <col min="12540" max="12540" width="12.5703125" style="267" customWidth="1"/>
    <col min="12541" max="12541" width="10.28515625" style="267" customWidth="1"/>
    <col min="12542" max="12542" width="13.140625" style="267" customWidth="1"/>
    <col min="12543" max="12543" width="9.7109375" style="267" customWidth="1"/>
    <col min="12544" max="12544" width="11.7109375" style="267" customWidth="1"/>
    <col min="12545" max="12545" width="9.7109375" style="267" customWidth="1"/>
    <col min="12546" max="12546" width="9.140625" style="267" customWidth="1"/>
    <col min="12547" max="12792" width="8.85546875" style="267"/>
    <col min="12793" max="12793" width="27.28515625" style="267" customWidth="1"/>
    <col min="12794" max="12794" width="10.7109375" style="267" customWidth="1"/>
    <col min="12795" max="12795" width="9.7109375" style="267" customWidth="1"/>
    <col min="12796" max="12796" width="12.5703125" style="267" customWidth="1"/>
    <col min="12797" max="12797" width="10.28515625" style="267" customWidth="1"/>
    <col min="12798" max="12798" width="13.140625" style="267" customWidth="1"/>
    <col min="12799" max="12799" width="9.7109375" style="267" customWidth="1"/>
    <col min="12800" max="12800" width="11.7109375" style="267" customWidth="1"/>
    <col min="12801" max="12801" width="9.7109375" style="267" customWidth="1"/>
    <col min="12802" max="12802" width="9.140625" style="267" customWidth="1"/>
    <col min="12803" max="13048" width="8.85546875" style="267"/>
    <col min="13049" max="13049" width="27.28515625" style="267" customWidth="1"/>
    <col min="13050" max="13050" width="10.7109375" style="267" customWidth="1"/>
    <col min="13051" max="13051" width="9.7109375" style="267" customWidth="1"/>
    <col min="13052" max="13052" width="12.5703125" style="267" customWidth="1"/>
    <col min="13053" max="13053" width="10.28515625" style="267" customWidth="1"/>
    <col min="13054" max="13054" width="13.140625" style="267" customWidth="1"/>
    <col min="13055" max="13055" width="9.7109375" style="267" customWidth="1"/>
    <col min="13056" max="13056" width="11.7109375" style="267" customWidth="1"/>
    <col min="13057" max="13057" width="9.7109375" style="267" customWidth="1"/>
    <col min="13058" max="13058" width="9.140625" style="267" customWidth="1"/>
    <col min="13059" max="13304" width="8.85546875" style="267"/>
    <col min="13305" max="13305" width="27.28515625" style="267" customWidth="1"/>
    <col min="13306" max="13306" width="10.7109375" style="267" customWidth="1"/>
    <col min="13307" max="13307" width="9.7109375" style="267" customWidth="1"/>
    <col min="13308" max="13308" width="12.5703125" style="267" customWidth="1"/>
    <col min="13309" max="13309" width="10.28515625" style="267" customWidth="1"/>
    <col min="13310" max="13310" width="13.140625" style="267" customWidth="1"/>
    <col min="13311" max="13311" width="9.7109375" style="267" customWidth="1"/>
    <col min="13312" max="13312" width="11.7109375" style="267" customWidth="1"/>
    <col min="13313" max="13313" width="9.7109375" style="267" customWidth="1"/>
    <col min="13314" max="13314" width="9.140625" style="267" customWidth="1"/>
    <col min="13315" max="13560" width="8.85546875" style="267"/>
    <col min="13561" max="13561" width="27.28515625" style="267" customWidth="1"/>
    <col min="13562" max="13562" width="10.7109375" style="267" customWidth="1"/>
    <col min="13563" max="13563" width="9.7109375" style="267" customWidth="1"/>
    <col min="13564" max="13564" width="12.5703125" style="267" customWidth="1"/>
    <col min="13565" max="13565" width="10.28515625" style="267" customWidth="1"/>
    <col min="13566" max="13566" width="13.140625" style="267" customWidth="1"/>
    <col min="13567" max="13567" width="9.7109375" style="267" customWidth="1"/>
    <col min="13568" max="13568" width="11.7109375" style="267" customWidth="1"/>
    <col min="13569" max="13569" width="9.7109375" style="267" customWidth="1"/>
    <col min="13570" max="13570" width="9.140625" style="267" customWidth="1"/>
    <col min="13571" max="13816" width="8.85546875" style="267"/>
    <col min="13817" max="13817" width="27.28515625" style="267" customWidth="1"/>
    <col min="13818" max="13818" width="10.7109375" style="267" customWidth="1"/>
    <col min="13819" max="13819" width="9.7109375" style="267" customWidth="1"/>
    <col min="13820" max="13820" width="12.5703125" style="267" customWidth="1"/>
    <col min="13821" max="13821" width="10.28515625" style="267" customWidth="1"/>
    <col min="13822" max="13822" width="13.140625" style="267" customWidth="1"/>
    <col min="13823" max="13823" width="9.7109375" style="267" customWidth="1"/>
    <col min="13824" max="13824" width="11.7109375" style="267" customWidth="1"/>
    <col min="13825" max="13825" width="9.7109375" style="267" customWidth="1"/>
    <col min="13826" max="13826" width="9.140625" style="267" customWidth="1"/>
    <col min="13827" max="14072" width="8.85546875" style="267"/>
    <col min="14073" max="14073" width="27.28515625" style="267" customWidth="1"/>
    <col min="14074" max="14074" width="10.7109375" style="267" customWidth="1"/>
    <col min="14075" max="14075" width="9.7109375" style="267" customWidth="1"/>
    <col min="14076" max="14076" width="12.5703125" style="267" customWidth="1"/>
    <col min="14077" max="14077" width="10.28515625" style="267" customWidth="1"/>
    <col min="14078" max="14078" width="13.140625" style="267" customWidth="1"/>
    <col min="14079" max="14079" width="9.7109375" style="267" customWidth="1"/>
    <col min="14080" max="14080" width="11.7109375" style="267" customWidth="1"/>
    <col min="14081" max="14081" width="9.7109375" style="267" customWidth="1"/>
    <col min="14082" max="14082" width="9.140625" style="267" customWidth="1"/>
    <col min="14083" max="14328" width="8.85546875" style="267"/>
    <col min="14329" max="14329" width="27.28515625" style="267" customWidth="1"/>
    <col min="14330" max="14330" width="10.7109375" style="267" customWidth="1"/>
    <col min="14331" max="14331" width="9.7109375" style="267" customWidth="1"/>
    <col min="14332" max="14332" width="12.5703125" style="267" customWidth="1"/>
    <col min="14333" max="14333" width="10.28515625" style="267" customWidth="1"/>
    <col min="14334" max="14334" width="13.140625" style="267" customWidth="1"/>
    <col min="14335" max="14335" width="9.7109375" style="267" customWidth="1"/>
    <col min="14336" max="14336" width="11.7109375" style="267" customWidth="1"/>
    <col min="14337" max="14337" width="9.7109375" style="267" customWidth="1"/>
    <col min="14338" max="14338" width="9.140625" style="267" customWidth="1"/>
    <col min="14339" max="14584" width="8.85546875" style="267"/>
    <col min="14585" max="14585" width="27.28515625" style="267" customWidth="1"/>
    <col min="14586" max="14586" width="10.7109375" style="267" customWidth="1"/>
    <col min="14587" max="14587" width="9.7109375" style="267" customWidth="1"/>
    <col min="14588" max="14588" width="12.5703125" style="267" customWidth="1"/>
    <col min="14589" max="14589" width="10.28515625" style="267" customWidth="1"/>
    <col min="14590" max="14590" width="13.140625" style="267" customWidth="1"/>
    <col min="14591" max="14591" width="9.7109375" style="267" customWidth="1"/>
    <col min="14592" max="14592" width="11.7109375" style="267" customWidth="1"/>
    <col min="14593" max="14593" width="9.7109375" style="267" customWidth="1"/>
    <col min="14594" max="14594" width="9.140625" style="267" customWidth="1"/>
    <col min="14595" max="14840" width="8.85546875" style="267"/>
    <col min="14841" max="14841" width="27.28515625" style="267" customWidth="1"/>
    <col min="14842" max="14842" width="10.7109375" style="267" customWidth="1"/>
    <col min="14843" max="14843" width="9.7109375" style="267" customWidth="1"/>
    <col min="14844" max="14844" width="12.5703125" style="267" customWidth="1"/>
    <col min="14845" max="14845" width="10.28515625" style="267" customWidth="1"/>
    <col min="14846" max="14846" width="13.140625" style="267" customWidth="1"/>
    <col min="14847" max="14847" width="9.7109375" style="267" customWidth="1"/>
    <col min="14848" max="14848" width="11.7109375" style="267" customWidth="1"/>
    <col min="14849" max="14849" width="9.7109375" style="267" customWidth="1"/>
    <col min="14850" max="14850" width="9.140625" style="267" customWidth="1"/>
    <col min="14851" max="15096" width="8.85546875" style="267"/>
    <col min="15097" max="15097" width="27.28515625" style="267" customWidth="1"/>
    <col min="15098" max="15098" width="10.7109375" style="267" customWidth="1"/>
    <col min="15099" max="15099" width="9.7109375" style="267" customWidth="1"/>
    <col min="15100" max="15100" width="12.5703125" style="267" customWidth="1"/>
    <col min="15101" max="15101" width="10.28515625" style="267" customWidth="1"/>
    <col min="15102" max="15102" width="13.140625" style="267" customWidth="1"/>
    <col min="15103" max="15103" width="9.7109375" style="267" customWidth="1"/>
    <col min="15104" max="15104" width="11.7109375" style="267" customWidth="1"/>
    <col min="15105" max="15105" width="9.7109375" style="267" customWidth="1"/>
    <col min="15106" max="15106" width="9.140625" style="267" customWidth="1"/>
    <col min="15107" max="15352" width="8.85546875" style="267"/>
    <col min="15353" max="15353" width="27.28515625" style="267" customWidth="1"/>
    <col min="15354" max="15354" width="10.7109375" style="267" customWidth="1"/>
    <col min="15355" max="15355" width="9.7109375" style="267" customWidth="1"/>
    <col min="15356" max="15356" width="12.5703125" style="267" customWidth="1"/>
    <col min="15357" max="15357" width="10.28515625" style="267" customWidth="1"/>
    <col min="15358" max="15358" width="13.140625" style="267" customWidth="1"/>
    <col min="15359" max="15359" width="9.7109375" style="267" customWidth="1"/>
    <col min="15360" max="15360" width="11.7109375" style="267" customWidth="1"/>
    <col min="15361" max="15361" width="9.7109375" style="267" customWidth="1"/>
    <col min="15362" max="15362" width="9.140625" style="267" customWidth="1"/>
    <col min="15363" max="15608" width="8.85546875" style="267"/>
    <col min="15609" max="15609" width="27.28515625" style="267" customWidth="1"/>
    <col min="15610" max="15610" width="10.7109375" style="267" customWidth="1"/>
    <col min="15611" max="15611" width="9.7109375" style="267" customWidth="1"/>
    <col min="15612" max="15612" width="12.5703125" style="267" customWidth="1"/>
    <col min="15613" max="15613" width="10.28515625" style="267" customWidth="1"/>
    <col min="15614" max="15614" width="13.140625" style="267" customWidth="1"/>
    <col min="15615" max="15615" width="9.7109375" style="267" customWidth="1"/>
    <col min="15616" max="15616" width="11.7109375" style="267" customWidth="1"/>
    <col min="15617" max="15617" width="9.7109375" style="267" customWidth="1"/>
    <col min="15618" max="15618" width="9.140625" style="267" customWidth="1"/>
    <col min="15619" max="15864" width="8.85546875" style="267"/>
    <col min="15865" max="15865" width="27.28515625" style="267" customWidth="1"/>
    <col min="15866" max="15866" width="10.7109375" style="267" customWidth="1"/>
    <col min="15867" max="15867" width="9.7109375" style="267" customWidth="1"/>
    <col min="15868" max="15868" width="12.5703125" style="267" customWidth="1"/>
    <col min="15869" max="15869" width="10.28515625" style="267" customWidth="1"/>
    <col min="15870" max="15870" width="13.140625" style="267" customWidth="1"/>
    <col min="15871" max="15871" width="9.7109375" style="267" customWidth="1"/>
    <col min="15872" max="15872" width="11.7109375" style="267" customWidth="1"/>
    <col min="15873" max="15873" width="9.7109375" style="267" customWidth="1"/>
    <col min="15874" max="15874" width="9.140625" style="267" customWidth="1"/>
    <col min="15875" max="16120" width="8.85546875" style="267"/>
    <col min="16121" max="16121" width="27.28515625" style="267" customWidth="1"/>
    <col min="16122" max="16122" width="10.7109375" style="267" customWidth="1"/>
    <col min="16123" max="16123" width="9.7109375" style="267" customWidth="1"/>
    <col min="16124" max="16124" width="12.5703125" style="267" customWidth="1"/>
    <col min="16125" max="16125" width="10.28515625" style="267" customWidth="1"/>
    <col min="16126" max="16126" width="13.140625" style="267" customWidth="1"/>
    <col min="16127" max="16127" width="9.7109375" style="267" customWidth="1"/>
    <col min="16128" max="16128" width="11.7109375" style="267" customWidth="1"/>
    <col min="16129" max="16129" width="9.7109375" style="267" customWidth="1"/>
    <col min="16130" max="16130" width="9.140625" style="267" customWidth="1"/>
    <col min="16131" max="16384" width="8.85546875" style="267"/>
  </cols>
  <sheetData>
    <row r="2" spans="1:9" ht="20.25" x14ac:dyDescent="0.2">
      <c r="A2" s="499" t="s">
        <v>255</v>
      </c>
      <c r="B2" s="500"/>
      <c r="C2" s="500"/>
      <c r="D2" s="500"/>
      <c r="E2" s="500"/>
      <c r="F2" s="500"/>
      <c r="G2" s="500"/>
      <c r="H2" s="500"/>
      <c r="I2" s="266"/>
    </row>
    <row r="3" spans="1:9" ht="20.25" x14ac:dyDescent="0.2">
      <c r="A3" s="499" t="s">
        <v>256</v>
      </c>
      <c r="B3" s="500"/>
      <c r="C3" s="500"/>
      <c r="D3" s="500"/>
      <c r="E3" s="500"/>
      <c r="F3" s="500"/>
      <c r="G3" s="500"/>
      <c r="H3" s="500"/>
      <c r="I3" s="266"/>
    </row>
    <row r="4" spans="1:9" ht="20.25" x14ac:dyDescent="0.2">
      <c r="A4" s="415"/>
      <c r="B4" s="416"/>
      <c r="C4" s="416"/>
      <c r="D4" s="416"/>
      <c r="E4" s="416"/>
      <c r="F4" s="416"/>
      <c r="G4" s="416"/>
      <c r="H4" s="416"/>
      <c r="I4" s="266"/>
    </row>
    <row r="5" spans="1:9" ht="20.25" x14ac:dyDescent="0.2">
      <c r="A5" s="415"/>
      <c r="B5" s="416"/>
      <c r="C5" s="416"/>
      <c r="D5" s="416"/>
      <c r="E5" s="416"/>
      <c r="F5" s="416"/>
      <c r="G5" s="416"/>
      <c r="H5" s="416"/>
      <c r="I5" s="266"/>
    </row>
    <row r="6" spans="1:9" ht="16.5" customHeight="1" x14ac:dyDescent="0.2">
      <c r="A6" s="268"/>
      <c r="B6" s="269"/>
      <c r="C6" s="270"/>
      <c r="D6" s="270"/>
      <c r="E6" s="270"/>
      <c r="F6" s="270"/>
      <c r="G6" s="270"/>
      <c r="H6" s="511" t="s">
        <v>257</v>
      </c>
      <c r="I6" s="511"/>
    </row>
    <row r="7" spans="1:9" ht="14.25" customHeight="1" thickBot="1" x14ac:dyDescent="0.25">
      <c r="A7" s="512"/>
      <c r="B7" s="512"/>
      <c r="C7" s="512"/>
      <c r="D7" s="512"/>
      <c r="E7" s="270"/>
      <c r="F7" s="270"/>
      <c r="G7" s="270"/>
      <c r="H7" s="270"/>
      <c r="I7" s="271" t="s">
        <v>258</v>
      </c>
    </row>
    <row r="8" spans="1:9" ht="18.75" customHeight="1" thickBot="1" x14ac:dyDescent="0.25">
      <c r="A8" s="502" t="s">
        <v>259</v>
      </c>
      <c r="B8" s="507" t="s">
        <v>260</v>
      </c>
      <c r="C8" s="508"/>
      <c r="D8" s="508"/>
      <c r="E8" s="509"/>
      <c r="F8" s="513" t="s">
        <v>261</v>
      </c>
      <c r="G8" s="514"/>
      <c r="H8" s="514"/>
      <c r="I8" s="515"/>
    </row>
    <row r="9" spans="1:9" ht="39.75" customHeight="1" thickBot="1" x14ac:dyDescent="0.25">
      <c r="A9" s="503"/>
      <c r="B9" s="272" t="s">
        <v>228</v>
      </c>
      <c r="C9" s="272" t="s">
        <v>244</v>
      </c>
      <c r="D9" s="273" t="s">
        <v>245</v>
      </c>
      <c r="E9" s="375" t="s">
        <v>223</v>
      </c>
      <c r="F9" s="272" t="s">
        <v>228</v>
      </c>
      <c r="G9" s="272" t="s">
        <v>244</v>
      </c>
      <c r="H9" s="273" t="s">
        <v>245</v>
      </c>
      <c r="I9" s="375" t="s">
        <v>223</v>
      </c>
    </row>
    <row r="10" spans="1:9" ht="22.5" customHeight="1" thickBot="1" x14ac:dyDescent="0.25">
      <c r="A10" s="274" t="s">
        <v>262</v>
      </c>
      <c r="B10" s="275">
        <f>SUM(B11:B15)</f>
        <v>121378</v>
      </c>
      <c r="C10" s="276">
        <f>SUM(C11:C15)</f>
        <v>121378</v>
      </c>
      <c r="D10" s="276">
        <f>SUM(D11:D15)</f>
        <v>45807.979999999996</v>
      </c>
      <c r="E10" s="277">
        <f>D10/C10*100</f>
        <v>37.739936397040644</v>
      </c>
      <c r="F10" s="275">
        <f>SUM(F11:F15)</f>
        <v>71968</v>
      </c>
      <c r="G10" s="276">
        <f>SUM(G11:G15)</f>
        <v>71968</v>
      </c>
      <c r="H10" s="276">
        <f>SUM(H11:H15)</f>
        <v>28354.979999999996</v>
      </c>
      <c r="I10" s="277">
        <f>H10/G10*100</f>
        <v>39.399427523343704</v>
      </c>
    </row>
    <row r="11" spans="1:9" ht="16.899999999999999" customHeight="1" x14ac:dyDescent="0.2">
      <c r="A11" s="278" t="s">
        <v>263</v>
      </c>
      <c r="B11" s="279">
        <v>56900</v>
      </c>
      <c r="C11" s="281">
        <v>56900</v>
      </c>
      <c r="D11" s="280">
        <v>18684</v>
      </c>
      <c r="E11" s="282">
        <f t="shared" ref="E11:E40" si="0">D11/C11*100</f>
        <v>32.836555360281196</v>
      </c>
      <c r="F11" s="279">
        <v>33560</v>
      </c>
      <c r="G11" s="281">
        <v>33560</v>
      </c>
      <c r="H11" s="280">
        <v>10621</v>
      </c>
      <c r="I11" s="282">
        <f>H11/G11*100</f>
        <v>31.647794994040524</v>
      </c>
    </row>
    <row r="12" spans="1:9" ht="16.899999999999999" customHeight="1" x14ac:dyDescent="0.2">
      <c r="A12" s="283" t="s">
        <v>264</v>
      </c>
      <c r="B12" s="284">
        <v>36520</v>
      </c>
      <c r="C12" s="286">
        <v>36520</v>
      </c>
      <c r="D12" s="285">
        <v>9635.2800000000007</v>
      </c>
      <c r="E12" s="287">
        <f t="shared" si="0"/>
        <v>26.383570646221248</v>
      </c>
      <c r="F12" s="284">
        <v>22965</v>
      </c>
      <c r="G12" s="286">
        <v>22965</v>
      </c>
      <c r="H12" s="285">
        <f>4842.28+297</f>
        <v>5139.28</v>
      </c>
      <c r="I12" s="287">
        <f t="shared" ref="I12:I28" si="1">H12/G12*100</f>
        <v>22.378750272153276</v>
      </c>
    </row>
    <row r="13" spans="1:9" ht="16.899999999999999" customHeight="1" x14ac:dyDescent="0.2">
      <c r="A13" s="288" t="s">
        <v>265</v>
      </c>
      <c r="B13" s="284">
        <v>10489</v>
      </c>
      <c r="C13" s="286">
        <v>10489</v>
      </c>
      <c r="D13" s="285">
        <v>3157.34</v>
      </c>
      <c r="E13" s="287">
        <f t="shared" si="0"/>
        <v>30.101439603394031</v>
      </c>
      <c r="F13" s="284">
        <v>7484</v>
      </c>
      <c r="G13" s="286">
        <v>7484</v>
      </c>
      <c r="H13" s="285">
        <v>4380.21</v>
      </c>
      <c r="I13" s="287">
        <f t="shared" si="1"/>
        <v>58.527659005879208</v>
      </c>
    </row>
    <row r="14" spans="1:9" ht="16.899999999999999" customHeight="1" x14ac:dyDescent="0.2">
      <c r="A14" s="283" t="s">
        <v>266</v>
      </c>
      <c r="B14" s="284">
        <v>17467</v>
      </c>
      <c r="C14" s="286">
        <v>17467</v>
      </c>
      <c r="D14" s="285">
        <f>11764.49+902.4</f>
        <v>12666.89</v>
      </c>
      <c r="E14" s="287">
        <f t="shared" si="0"/>
        <v>72.518978645445699</v>
      </c>
      <c r="F14" s="284">
        <v>7959</v>
      </c>
      <c r="G14" s="286">
        <v>7959</v>
      </c>
      <c r="H14" s="285">
        <f>6448.8+894</f>
        <v>7342.8</v>
      </c>
      <c r="I14" s="287">
        <f t="shared" si="1"/>
        <v>92.257821334338487</v>
      </c>
    </row>
    <row r="15" spans="1:9" ht="16.899999999999999" customHeight="1" thickBot="1" x14ac:dyDescent="0.25">
      <c r="A15" s="283" t="s">
        <v>267</v>
      </c>
      <c r="B15" s="289">
        <v>2</v>
      </c>
      <c r="C15" s="291">
        <v>2</v>
      </c>
      <c r="D15" s="290">
        <f>1500+157.38+7+0.09</f>
        <v>1664.47</v>
      </c>
      <c r="E15" s="292"/>
      <c r="F15" s="289">
        <v>0</v>
      </c>
      <c r="G15" s="291">
        <v>0</v>
      </c>
      <c r="H15" s="290">
        <f>6.34+865.35</f>
        <v>871.69</v>
      </c>
      <c r="I15" s="292"/>
    </row>
    <row r="16" spans="1:9" ht="21.75" customHeight="1" thickBot="1" x14ac:dyDescent="0.25">
      <c r="A16" s="293" t="s">
        <v>268</v>
      </c>
      <c r="B16" s="275">
        <f>B20+B31+B32</f>
        <v>1003072</v>
      </c>
      <c r="C16" s="276">
        <f>C20+C31+C32</f>
        <v>1137853</v>
      </c>
      <c r="D16" s="276">
        <f>D20+D31+D32</f>
        <v>480333.44</v>
      </c>
      <c r="E16" s="277">
        <f t="shared" si="0"/>
        <v>42.214015342930942</v>
      </c>
      <c r="F16" s="275">
        <f>F20+F31+F32</f>
        <v>815676</v>
      </c>
      <c r="G16" s="276">
        <f>G20+G31+G32</f>
        <v>868060</v>
      </c>
      <c r="H16" s="276">
        <f>H20+H31+H32</f>
        <v>346951.61</v>
      </c>
      <c r="I16" s="277">
        <f t="shared" si="1"/>
        <v>39.968620832661337</v>
      </c>
    </row>
    <row r="17" spans="1:9" ht="16.899999999999999" customHeight="1" x14ac:dyDescent="0.2">
      <c r="A17" s="294" t="s">
        <v>269</v>
      </c>
      <c r="B17" s="295">
        <v>863067</v>
      </c>
      <c r="C17" s="296">
        <v>945017</v>
      </c>
      <c r="D17" s="297">
        <v>394090.51</v>
      </c>
      <c r="E17" s="298">
        <f t="shared" si="0"/>
        <v>41.701949277102948</v>
      </c>
      <c r="F17" s="295">
        <v>711030</v>
      </c>
      <c r="G17" s="296">
        <v>733487</v>
      </c>
      <c r="H17" s="297">
        <v>273037.48</v>
      </c>
      <c r="I17" s="298">
        <f t="shared" si="1"/>
        <v>37.224583394116053</v>
      </c>
    </row>
    <row r="18" spans="1:9" ht="16.899999999999999" customHeight="1" x14ac:dyDescent="0.2">
      <c r="A18" s="299" t="s">
        <v>270</v>
      </c>
      <c r="B18" s="284">
        <v>140005</v>
      </c>
      <c r="C18" s="286">
        <v>145000</v>
      </c>
      <c r="D18" s="285">
        <v>56351.24</v>
      </c>
      <c r="E18" s="287">
        <f t="shared" si="0"/>
        <v>38.862924137931032</v>
      </c>
      <c r="F18" s="284">
        <v>104646</v>
      </c>
      <c r="G18" s="286">
        <v>103000</v>
      </c>
      <c r="H18" s="285">
        <v>34531.1</v>
      </c>
      <c r="I18" s="287">
        <f t="shared" si="1"/>
        <v>33.525339805825247</v>
      </c>
    </row>
    <row r="19" spans="1:9" ht="16.899999999999999" customHeight="1" thickBot="1" x14ac:dyDescent="0.25">
      <c r="A19" s="299" t="s">
        <v>271</v>
      </c>
      <c r="B19" s="289"/>
      <c r="C19" s="291"/>
      <c r="D19" s="290">
        <v>16280.99</v>
      </c>
      <c r="E19" s="292"/>
      <c r="F19" s="289">
        <v>0</v>
      </c>
      <c r="G19" s="291">
        <v>0</v>
      </c>
      <c r="H19" s="290">
        <v>22383.64</v>
      </c>
      <c r="I19" s="292"/>
    </row>
    <row r="20" spans="1:9" ht="26.25" thickBot="1" x14ac:dyDescent="0.25">
      <c r="A20" s="300" t="s">
        <v>272</v>
      </c>
      <c r="B20" s="301">
        <f>SUM(B17:B19)</f>
        <v>1003072</v>
      </c>
      <c r="C20" s="302">
        <f>SUM(C17:C19)</f>
        <v>1090017</v>
      </c>
      <c r="D20" s="303">
        <f>SUM(D17:D19)</f>
        <v>466722.74</v>
      </c>
      <c r="E20" s="304">
        <f t="shared" si="0"/>
        <v>42.817932197387748</v>
      </c>
      <c r="F20" s="301">
        <f>SUM(F17:F19)</f>
        <v>815676</v>
      </c>
      <c r="G20" s="302">
        <f>SUM(G17:G19)</f>
        <v>836487</v>
      </c>
      <c r="H20" s="303">
        <f>SUM(H17:H19)</f>
        <v>329952.21999999997</v>
      </c>
      <c r="I20" s="304">
        <f t="shared" si="1"/>
        <v>39.444990776903879</v>
      </c>
    </row>
    <row r="21" spans="1:9" ht="16.899999999999999" customHeight="1" x14ac:dyDescent="0.2">
      <c r="A21" s="305" t="s">
        <v>273</v>
      </c>
      <c r="B21" s="279">
        <v>0</v>
      </c>
      <c r="C21" s="306">
        <v>17504</v>
      </c>
      <c r="D21" s="280">
        <v>1459.8</v>
      </c>
      <c r="E21" s="282">
        <f t="shared" si="0"/>
        <v>8.339808043875685</v>
      </c>
      <c r="F21" s="279">
        <v>0</v>
      </c>
      <c r="G21" s="281">
        <v>10880</v>
      </c>
      <c r="H21" s="280">
        <v>5488.99</v>
      </c>
      <c r="I21" s="282">
        <f t="shared" si="1"/>
        <v>50.450275735294113</v>
      </c>
    </row>
    <row r="22" spans="1:9" ht="16.899999999999999" customHeight="1" x14ac:dyDescent="0.2">
      <c r="A22" s="307" t="s">
        <v>274</v>
      </c>
      <c r="B22" s="284">
        <v>0</v>
      </c>
      <c r="C22" s="308">
        <v>0</v>
      </c>
      <c r="D22" s="285">
        <v>0</v>
      </c>
      <c r="E22" s="287"/>
      <c r="F22" s="284">
        <v>0</v>
      </c>
      <c r="G22" s="286">
        <v>0</v>
      </c>
      <c r="H22" s="285">
        <v>0</v>
      </c>
      <c r="I22" s="287"/>
    </row>
    <row r="23" spans="1:9" ht="16.899999999999999" customHeight="1" x14ac:dyDescent="0.2">
      <c r="A23" s="307" t="s">
        <v>275</v>
      </c>
      <c r="B23" s="284">
        <v>0</v>
      </c>
      <c r="C23" s="308">
        <v>17882</v>
      </c>
      <c r="D23" s="285">
        <v>9300.9</v>
      </c>
      <c r="E23" s="287"/>
      <c r="F23" s="284">
        <v>0</v>
      </c>
      <c r="G23" s="286">
        <v>15443</v>
      </c>
      <c r="H23" s="285">
        <v>10160.4</v>
      </c>
      <c r="I23" s="282">
        <f t="shared" si="1"/>
        <v>65.792915884219383</v>
      </c>
    </row>
    <row r="24" spans="1:9" ht="16.899999999999999" customHeight="1" x14ac:dyDescent="0.2">
      <c r="A24" s="307" t="s">
        <v>276</v>
      </c>
      <c r="B24" s="284">
        <v>0</v>
      </c>
      <c r="C24" s="308">
        <v>0</v>
      </c>
      <c r="D24" s="285">
        <v>0</v>
      </c>
      <c r="E24" s="287"/>
      <c r="F24" s="284">
        <v>0</v>
      </c>
      <c r="G24" s="286">
        <v>0</v>
      </c>
      <c r="H24" s="285">
        <v>0</v>
      </c>
      <c r="I24" s="287"/>
    </row>
    <row r="25" spans="1:9" ht="16.899999999999999" customHeight="1" x14ac:dyDescent="0.2">
      <c r="A25" s="309" t="s">
        <v>277</v>
      </c>
      <c r="B25" s="284">
        <v>0</v>
      </c>
      <c r="C25" s="308">
        <v>0</v>
      </c>
      <c r="D25" s="285">
        <v>0</v>
      </c>
      <c r="E25" s="287"/>
      <c r="F25" s="284">
        <v>0</v>
      </c>
      <c r="G25" s="286">
        <v>0</v>
      </c>
      <c r="H25" s="285">
        <v>0</v>
      </c>
      <c r="I25" s="287"/>
    </row>
    <row r="26" spans="1:9" ht="16.899999999999999" customHeight="1" x14ac:dyDescent="0.2">
      <c r="A26" s="309" t="s">
        <v>278</v>
      </c>
      <c r="B26" s="284">
        <v>0</v>
      </c>
      <c r="C26" s="308">
        <v>0</v>
      </c>
      <c r="D26" s="285">
        <v>0</v>
      </c>
      <c r="E26" s="287"/>
      <c r="F26" s="284">
        <v>0</v>
      </c>
      <c r="G26" s="286">
        <v>0</v>
      </c>
      <c r="H26" s="285">
        <v>0</v>
      </c>
      <c r="I26" s="287"/>
    </row>
    <row r="27" spans="1:9" ht="16.899999999999999" customHeight="1" x14ac:dyDescent="0.2">
      <c r="A27" s="309" t="s">
        <v>279</v>
      </c>
      <c r="B27" s="284">
        <v>0</v>
      </c>
      <c r="C27" s="308">
        <v>2850</v>
      </c>
      <c r="D27" s="285">
        <v>2850</v>
      </c>
      <c r="E27" s="287">
        <f t="shared" si="0"/>
        <v>100</v>
      </c>
      <c r="F27" s="284">
        <v>0</v>
      </c>
      <c r="G27" s="286">
        <v>1350</v>
      </c>
      <c r="H27" s="285">
        <v>1350</v>
      </c>
      <c r="I27" s="287">
        <f t="shared" si="1"/>
        <v>100</v>
      </c>
    </row>
    <row r="28" spans="1:9" ht="16.899999999999999" customHeight="1" x14ac:dyDescent="0.2">
      <c r="A28" s="309" t="s">
        <v>280</v>
      </c>
      <c r="B28" s="284">
        <v>0</v>
      </c>
      <c r="C28" s="308">
        <v>9600</v>
      </c>
      <c r="D28" s="285">
        <v>0</v>
      </c>
      <c r="E28" s="287">
        <f t="shared" si="0"/>
        <v>0</v>
      </c>
      <c r="F28" s="284">
        <v>0</v>
      </c>
      <c r="G28" s="286">
        <v>3900</v>
      </c>
      <c r="H28" s="285">
        <v>0</v>
      </c>
      <c r="I28" s="287">
        <f t="shared" si="1"/>
        <v>0</v>
      </c>
    </row>
    <row r="29" spans="1:9" ht="16.899999999999999" customHeight="1" x14ac:dyDescent="0.2">
      <c r="A29" s="309" t="s">
        <v>281</v>
      </c>
      <c r="B29" s="284">
        <v>0</v>
      </c>
      <c r="C29" s="308">
        <v>0</v>
      </c>
      <c r="D29" s="285">
        <v>0</v>
      </c>
      <c r="E29" s="287"/>
      <c r="F29" s="284">
        <v>0</v>
      </c>
      <c r="G29" s="286">
        <v>0</v>
      </c>
      <c r="H29" s="285">
        <v>0</v>
      </c>
      <c r="I29" s="287"/>
    </row>
    <row r="30" spans="1:9" ht="16.899999999999999" customHeight="1" thickBot="1" x14ac:dyDescent="0.25">
      <c r="A30" s="299" t="s">
        <v>282</v>
      </c>
      <c r="B30" s="289">
        <v>0</v>
      </c>
      <c r="C30" s="310">
        <v>0</v>
      </c>
      <c r="D30" s="311">
        <v>0</v>
      </c>
      <c r="E30" s="292"/>
      <c r="F30" s="289">
        <v>0</v>
      </c>
      <c r="G30" s="312">
        <v>0</v>
      </c>
      <c r="H30" s="311">
        <v>0</v>
      </c>
      <c r="I30" s="292"/>
    </row>
    <row r="31" spans="1:9" ht="16.899999999999999" customHeight="1" thickBot="1" x14ac:dyDescent="0.25">
      <c r="A31" s="313" t="s">
        <v>283</v>
      </c>
      <c r="B31" s="314">
        <f>SUM(B21:B30)</f>
        <v>0</v>
      </c>
      <c r="C31" s="315">
        <f>SUM(C21:C30)</f>
        <v>47836</v>
      </c>
      <c r="D31" s="316">
        <f>SUM(D21:D30)</f>
        <v>13610.699999999999</v>
      </c>
      <c r="E31" s="328">
        <f t="shared" si="0"/>
        <v>28.45283886612593</v>
      </c>
      <c r="F31" s="417">
        <f>SUM(F21:F30)</f>
        <v>0</v>
      </c>
      <c r="G31" s="315">
        <f>SUM(G21:G30)</f>
        <v>31573</v>
      </c>
      <c r="H31" s="316">
        <f>SUM(H21:H30)</f>
        <v>16999.39</v>
      </c>
      <c r="I31" s="317">
        <f t="shared" ref="I31" si="2">H31/G31*100</f>
        <v>53.841541823710124</v>
      </c>
    </row>
    <row r="32" spans="1:9" ht="16.899999999999999" customHeight="1" thickBot="1" x14ac:dyDescent="0.25">
      <c r="A32" s="313" t="s">
        <v>284</v>
      </c>
      <c r="B32" s="314">
        <v>0</v>
      </c>
      <c r="C32" s="315">
        <v>0</v>
      </c>
      <c r="D32" s="318">
        <v>0</v>
      </c>
      <c r="E32" s="328"/>
      <c r="F32" s="417">
        <v>0</v>
      </c>
      <c r="G32" s="319"/>
      <c r="H32" s="318"/>
      <c r="I32" s="317"/>
    </row>
    <row r="33" spans="1:9" ht="24.95" customHeight="1" thickBot="1" x14ac:dyDescent="0.25">
      <c r="A33" s="293" t="s">
        <v>285</v>
      </c>
      <c r="B33" s="275">
        <f>SUM(B34:B38)</f>
        <v>353820</v>
      </c>
      <c r="C33" s="276">
        <f>SUM(C34:C38)</f>
        <v>361622</v>
      </c>
      <c r="D33" s="276">
        <f>SUM(D34:D38)</f>
        <v>134267.9</v>
      </c>
      <c r="E33" s="277">
        <f t="shared" si="0"/>
        <v>37.129350537301384</v>
      </c>
      <c r="F33" s="275">
        <f>SUM(F34:F38)</f>
        <v>294666</v>
      </c>
      <c r="G33" s="276">
        <f>SUM(G34:G38)</f>
        <v>305702</v>
      </c>
      <c r="H33" s="276">
        <f>SUM(H34:H38)</f>
        <v>123045.94</v>
      </c>
      <c r="I33" s="277">
        <f t="shared" ref="I33:I40" si="3">H33/G33*100</f>
        <v>40.250289497615327</v>
      </c>
    </row>
    <row r="34" spans="1:9" ht="16.899999999999999" customHeight="1" x14ac:dyDescent="0.2">
      <c r="A34" s="320" t="s">
        <v>286</v>
      </c>
      <c r="B34" s="279">
        <v>0</v>
      </c>
      <c r="C34" s="281">
        <v>0</v>
      </c>
      <c r="D34" s="280">
        <f>135+0.98+0.34</f>
        <v>136.32</v>
      </c>
      <c r="E34" s="334"/>
      <c r="F34" s="279">
        <v>0</v>
      </c>
      <c r="G34" s="281">
        <v>0</v>
      </c>
      <c r="H34" s="280">
        <v>1.19</v>
      </c>
      <c r="I34" s="282"/>
    </row>
    <row r="35" spans="1:9" ht="16.899999999999999" customHeight="1" x14ac:dyDescent="0.2">
      <c r="A35" s="321" t="s">
        <v>287</v>
      </c>
      <c r="B35" s="284">
        <v>129355</v>
      </c>
      <c r="C35" s="286">
        <v>130097</v>
      </c>
      <c r="D35" s="285">
        <v>47780.21</v>
      </c>
      <c r="E35" s="287">
        <f t="shared" si="0"/>
        <v>36.726603995480296</v>
      </c>
      <c r="F35" s="284">
        <v>121477</v>
      </c>
      <c r="G35" s="286">
        <v>121477</v>
      </c>
      <c r="H35" s="285">
        <v>50450.9</v>
      </c>
      <c r="I35" s="287">
        <f t="shared" si="3"/>
        <v>41.531236365731786</v>
      </c>
    </row>
    <row r="36" spans="1:9" ht="16.899999999999999" customHeight="1" x14ac:dyDescent="0.2">
      <c r="A36" s="322" t="s">
        <v>288</v>
      </c>
      <c r="B36" s="284">
        <v>26320</v>
      </c>
      <c r="C36" s="286">
        <v>26320</v>
      </c>
      <c r="D36" s="285">
        <v>9338.74</v>
      </c>
      <c r="E36" s="287">
        <f t="shared" si="0"/>
        <v>35.481534954407294</v>
      </c>
      <c r="F36" s="284">
        <v>15400</v>
      </c>
      <c r="G36" s="286">
        <v>15400</v>
      </c>
      <c r="H36" s="285">
        <v>3675.85</v>
      </c>
      <c r="I36" s="287">
        <f t="shared" si="3"/>
        <v>23.869155844155841</v>
      </c>
    </row>
    <row r="37" spans="1:9" ht="16.899999999999999" customHeight="1" x14ac:dyDescent="0.2">
      <c r="A37" s="322" t="s">
        <v>289</v>
      </c>
      <c r="B37" s="284">
        <v>190145</v>
      </c>
      <c r="C37" s="286">
        <v>197205</v>
      </c>
      <c r="D37" s="285">
        <v>73819.59</v>
      </c>
      <c r="E37" s="287">
        <f t="shared" si="0"/>
        <v>37.432920057807863</v>
      </c>
      <c r="F37" s="284">
        <v>151389</v>
      </c>
      <c r="G37" s="286">
        <v>162425</v>
      </c>
      <c r="H37" s="285">
        <v>68396.789999999994</v>
      </c>
      <c r="I37" s="287">
        <f t="shared" si="3"/>
        <v>42.109767585039243</v>
      </c>
    </row>
    <row r="38" spans="1:9" ht="16.899999999999999" customHeight="1" thickBot="1" x14ac:dyDescent="0.25">
      <c r="A38" s="323" t="s">
        <v>290</v>
      </c>
      <c r="B38" s="289">
        <v>8000</v>
      </c>
      <c r="C38" s="291">
        <v>8000</v>
      </c>
      <c r="D38" s="290">
        <v>3193.04</v>
      </c>
      <c r="E38" s="292">
        <f t="shared" si="0"/>
        <v>39.912999999999997</v>
      </c>
      <c r="F38" s="289">
        <v>6400</v>
      </c>
      <c r="G38" s="291">
        <v>6400</v>
      </c>
      <c r="H38" s="290">
        <v>521.21</v>
      </c>
      <c r="I38" s="292">
        <f t="shared" si="3"/>
        <v>8.1439062500000006</v>
      </c>
    </row>
    <row r="39" spans="1:9" ht="16.899999999999999" customHeight="1" thickBot="1" x14ac:dyDescent="0.25">
      <c r="A39" s="324" t="s">
        <v>291</v>
      </c>
      <c r="B39" s="325">
        <v>17467</v>
      </c>
      <c r="C39" s="327">
        <v>17467</v>
      </c>
      <c r="D39" s="326">
        <v>13705.17</v>
      </c>
      <c r="E39" s="328">
        <f t="shared" si="0"/>
        <v>78.463216350832994</v>
      </c>
      <c r="F39" s="325">
        <v>7959</v>
      </c>
      <c r="G39" s="327">
        <v>7959</v>
      </c>
      <c r="H39" s="326">
        <v>4052.73</v>
      </c>
      <c r="I39" s="328">
        <f t="shared" si="3"/>
        <v>50.920090463626089</v>
      </c>
    </row>
    <row r="40" spans="1:9" ht="16.899999999999999" customHeight="1" thickBot="1" x14ac:dyDescent="0.25">
      <c r="A40" s="329" t="s">
        <v>292</v>
      </c>
      <c r="B40" s="325">
        <v>99840</v>
      </c>
      <c r="C40" s="327">
        <v>99840</v>
      </c>
      <c r="D40" s="326">
        <v>16530</v>
      </c>
      <c r="E40" s="328">
        <f t="shared" si="0"/>
        <v>16.556490384615387</v>
      </c>
      <c r="F40" s="325">
        <v>55680</v>
      </c>
      <c r="G40" s="327">
        <v>55680</v>
      </c>
      <c r="H40" s="326">
        <v>9673.2000000000007</v>
      </c>
      <c r="I40" s="328">
        <f t="shared" si="3"/>
        <v>17.37284482758621</v>
      </c>
    </row>
    <row r="41" spans="1:9" ht="16.899999999999999" customHeight="1" thickBot="1" x14ac:dyDescent="0.25">
      <c r="A41" s="329" t="s">
        <v>293</v>
      </c>
      <c r="B41" s="325">
        <v>0</v>
      </c>
      <c r="C41" s="327">
        <v>0</v>
      </c>
      <c r="D41" s="326">
        <v>0</v>
      </c>
      <c r="E41" s="328"/>
      <c r="F41" s="325">
        <v>0</v>
      </c>
      <c r="G41" s="327">
        <v>0</v>
      </c>
      <c r="H41" s="326">
        <v>0</v>
      </c>
      <c r="I41" s="328"/>
    </row>
    <row r="42" spans="1:9" ht="17.45" customHeight="1" thickBot="1" x14ac:dyDescent="0.25">
      <c r="A42" s="330" t="s">
        <v>294</v>
      </c>
      <c r="B42" s="275">
        <f>SUM(B43:B44)</f>
        <v>0</v>
      </c>
      <c r="C42" s="276">
        <f>SUM(C43:C44)</f>
        <v>0</v>
      </c>
      <c r="D42" s="276">
        <f>SUM(D43:D44)</f>
        <v>0</v>
      </c>
      <c r="E42" s="277"/>
      <c r="F42" s="275">
        <f t="shared" ref="F42:H42" si="4">SUM(F43:F44)</f>
        <v>0</v>
      </c>
      <c r="G42" s="276">
        <f t="shared" si="4"/>
        <v>0</v>
      </c>
      <c r="H42" s="276">
        <f t="shared" si="4"/>
        <v>1210</v>
      </c>
      <c r="I42" s="277"/>
    </row>
    <row r="43" spans="1:9" ht="16.899999999999999" customHeight="1" thickBot="1" x14ac:dyDescent="0.25">
      <c r="A43" s="331" t="s">
        <v>295</v>
      </c>
      <c r="B43" s="279">
        <v>0</v>
      </c>
      <c r="C43" s="332">
        <v>0</v>
      </c>
      <c r="D43" s="333">
        <v>0</v>
      </c>
      <c r="E43" s="376"/>
      <c r="F43" s="279">
        <v>0</v>
      </c>
      <c r="G43" s="332">
        <v>0</v>
      </c>
      <c r="H43" s="333">
        <v>1210</v>
      </c>
      <c r="I43" s="334"/>
    </row>
    <row r="44" spans="1:9" ht="16.899999999999999" customHeight="1" thickBot="1" x14ac:dyDescent="0.25">
      <c r="A44" s="335" t="s">
        <v>296</v>
      </c>
      <c r="B44" s="289">
        <v>0</v>
      </c>
      <c r="C44" s="336">
        <v>0</v>
      </c>
      <c r="D44" s="337">
        <v>0</v>
      </c>
      <c r="E44" s="364"/>
      <c r="F44" s="289">
        <v>0</v>
      </c>
      <c r="G44" s="336">
        <v>0</v>
      </c>
      <c r="H44" s="337">
        <v>0</v>
      </c>
      <c r="I44" s="338"/>
    </row>
    <row r="45" spans="1:9" ht="18.75" customHeight="1" thickBot="1" x14ac:dyDescent="0.25">
      <c r="A45" s="274" t="s">
        <v>297</v>
      </c>
      <c r="B45" s="339">
        <f>B16+B33+B42+B39+B40</f>
        <v>1474199</v>
      </c>
      <c r="C45" s="344">
        <f t="shared" ref="C45" si="5">C16+C33+C42+C39+C40</f>
        <v>1616782</v>
      </c>
      <c r="D45" s="344">
        <f>D16+D33+D42+D39+D40+D41</f>
        <v>644836.51</v>
      </c>
      <c r="E45" s="277">
        <f>D45/C45*100</f>
        <v>39.883949103837132</v>
      </c>
      <c r="F45" s="339">
        <f t="shared" ref="F45:G45" si="6">F16+F33+F42+F39+F40</f>
        <v>1173981</v>
      </c>
      <c r="G45" s="344">
        <f t="shared" si="6"/>
        <v>1237401</v>
      </c>
      <c r="H45" s="344">
        <f>H16+H33+H42+H39+H40+H41</f>
        <v>484933.48</v>
      </c>
      <c r="I45" s="277">
        <f>H45/G45*100</f>
        <v>39.18967901270485</v>
      </c>
    </row>
    <row r="46" spans="1:9" ht="16.899999999999999" customHeight="1" x14ac:dyDescent="0.2">
      <c r="A46" s="340" t="s">
        <v>298</v>
      </c>
      <c r="B46" s="279">
        <v>0</v>
      </c>
      <c r="C46" s="341">
        <v>0</v>
      </c>
      <c r="D46" s="342">
        <v>0</v>
      </c>
      <c r="E46" s="282"/>
      <c r="F46" s="279">
        <v>0</v>
      </c>
      <c r="G46" s="341">
        <v>0</v>
      </c>
      <c r="H46" s="342">
        <v>0</v>
      </c>
      <c r="I46" s="334"/>
    </row>
    <row r="47" spans="1:9" ht="16.899999999999999" customHeight="1" thickBot="1" x14ac:dyDescent="0.25">
      <c r="A47" s="343" t="s">
        <v>299</v>
      </c>
      <c r="B47" s="289">
        <v>0</v>
      </c>
      <c r="C47" s="336">
        <v>0</v>
      </c>
      <c r="D47" s="337">
        <v>0</v>
      </c>
      <c r="E47" s="364"/>
      <c r="F47" s="289">
        <v>0</v>
      </c>
      <c r="G47" s="336">
        <v>0</v>
      </c>
      <c r="H47" s="337">
        <v>0</v>
      </c>
      <c r="I47" s="338"/>
    </row>
    <row r="48" spans="1:9" ht="19.899999999999999" customHeight="1" thickBot="1" x14ac:dyDescent="0.25">
      <c r="A48" s="274" t="s">
        <v>300</v>
      </c>
      <c r="B48" s="339">
        <f>SUM(B45:B47)</f>
        <v>1474199</v>
      </c>
      <c r="C48" s="344">
        <f t="shared" ref="C48:D48" si="7">SUM(C45:C47)</f>
        <v>1616782</v>
      </c>
      <c r="D48" s="344">
        <f t="shared" si="7"/>
        <v>644836.51</v>
      </c>
      <c r="E48" s="277">
        <f>D48/C48*100</f>
        <v>39.883949103837132</v>
      </c>
      <c r="F48" s="339">
        <f>SUM(F45:F47)</f>
        <v>1173981</v>
      </c>
      <c r="G48" s="344">
        <f t="shared" ref="G48:H48" si="8">SUM(G45:G47)</f>
        <v>1237401</v>
      </c>
      <c r="H48" s="344">
        <f t="shared" si="8"/>
        <v>484933.48</v>
      </c>
      <c r="I48" s="277">
        <f>H48/G48*100</f>
        <v>39.18967901270485</v>
      </c>
    </row>
    <row r="49" spans="1:9" ht="15.75" customHeight="1" x14ac:dyDescent="0.2">
      <c r="A49" s="345"/>
      <c r="B49" s="346"/>
      <c r="C49" s="346"/>
      <c r="D49" s="346"/>
      <c r="E49" s="347"/>
      <c r="F49" s="346"/>
      <c r="G49" s="346"/>
      <c r="H49" s="346"/>
      <c r="I49" s="347"/>
    </row>
    <row r="50" spans="1:9" ht="15.75" customHeight="1" x14ac:dyDescent="0.2">
      <c r="A50" s="345"/>
      <c r="B50" s="346"/>
      <c r="C50" s="346"/>
      <c r="D50" s="346"/>
      <c r="E50" s="347"/>
      <c r="F50" s="346"/>
      <c r="G50" s="346"/>
      <c r="H50" s="346"/>
      <c r="I50" s="347"/>
    </row>
    <row r="51" spans="1:9" ht="14.25" customHeight="1" x14ac:dyDescent="0.2">
      <c r="A51" s="345"/>
      <c r="B51" s="346"/>
      <c r="C51" s="346"/>
      <c r="D51" s="346"/>
      <c r="E51" s="347"/>
      <c r="F51" s="346"/>
      <c r="G51" s="346"/>
      <c r="H51" s="346"/>
      <c r="I51" s="347"/>
    </row>
    <row r="52" spans="1:9" ht="14.25" customHeight="1" x14ac:dyDescent="0.2">
      <c r="A52" s="345"/>
      <c r="B52" s="346"/>
      <c r="C52" s="346"/>
      <c r="D52" s="346"/>
      <c r="E52" s="347"/>
      <c r="F52" s="346"/>
      <c r="G52" s="346"/>
      <c r="H52" s="346"/>
      <c r="I52" s="347"/>
    </row>
    <row r="53" spans="1:9" ht="14.25" hidden="1" customHeight="1" x14ac:dyDescent="0.2">
      <c r="A53" s="345"/>
      <c r="B53" s="346"/>
      <c r="C53" s="346"/>
      <c r="D53" s="346"/>
      <c r="E53" s="347"/>
      <c r="F53" s="346"/>
      <c r="G53" s="346"/>
      <c r="H53" s="346"/>
      <c r="I53" s="347"/>
    </row>
    <row r="54" spans="1:9" ht="14.25" hidden="1" customHeight="1" x14ac:dyDescent="0.2">
      <c r="A54" s="345"/>
      <c r="B54" s="346"/>
      <c r="C54" s="346"/>
      <c r="D54" s="346"/>
      <c r="E54" s="347"/>
      <c r="F54" s="346"/>
      <c r="G54" s="346"/>
      <c r="H54" s="346"/>
      <c r="I54" s="347"/>
    </row>
    <row r="55" spans="1:9" ht="14.25" customHeight="1" x14ac:dyDescent="0.2">
      <c r="A55" s="345"/>
      <c r="B55" s="346"/>
      <c r="C55" s="346"/>
      <c r="D55" s="346"/>
      <c r="E55" s="347"/>
      <c r="F55" s="346"/>
      <c r="G55" s="346"/>
      <c r="H55" s="346"/>
      <c r="I55" s="347"/>
    </row>
    <row r="56" spans="1:9" ht="14.25" customHeight="1" x14ac:dyDescent="0.2">
      <c r="A56" s="345"/>
      <c r="B56" s="346"/>
      <c r="C56" s="346"/>
      <c r="D56" s="346"/>
      <c r="E56" s="347"/>
      <c r="F56" s="346"/>
      <c r="G56" s="346"/>
      <c r="H56" s="346"/>
      <c r="I56" s="347"/>
    </row>
    <row r="57" spans="1:9" ht="14.25" customHeight="1" x14ac:dyDescent="0.2">
      <c r="A57" s="345"/>
      <c r="B57" s="346"/>
      <c r="C57" s="346"/>
      <c r="D57" s="346"/>
      <c r="E57" s="347"/>
      <c r="F57" s="346"/>
      <c r="G57" s="346"/>
      <c r="H57" s="346"/>
      <c r="I57" s="347"/>
    </row>
    <row r="58" spans="1:9" ht="14.25" customHeight="1" x14ac:dyDescent="0.2">
      <c r="A58" s="499" t="s">
        <v>255</v>
      </c>
      <c r="B58" s="500"/>
      <c r="C58" s="500"/>
      <c r="D58" s="500"/>
      <c r="E58" s="500"/>
      <c r="F58" s="500"/>
      <c r="G58" s="500"/>
      <c r="H58" s="500"/>
      <c r="I58" s="347"/>
    </row>
    <row r="59" spans="1:9" ht="18" customHeight="1" x14ac:dyDescent="0.2">
      <c r="A59" s="499" t="s">
        <v>256</v>
      </c>
      <c r="B59" s="500"/>
      <c r="C59" s="500"/>
      <c r="D59" s="500"/>
      <c r="E59" s="500"/>
      <c r="F59" s="500"/>
      <c r="G59" s="500"/>
      <c r="H59" s="500"/>
      <c r="I59" s="347"/>
    </row>
    <row r="60" spans="1:9" ht="13.5" customHeight="1" x14ac:dyDescent="0.2">
      <c r="A60" s="345"/>
      <c r="B60" s="346"/>
      <c r="C60" s="346"/>
      <c r="D60" s="346"/>
      <c r="E60" s="347"/>
      <c r="F60" s="347"/>
      <c r="G60" s="346"/>
      <c r="H60" s="346"/>
      <c r="I60" s="347"/>
    </row>
    <row r="61" spans="1:9" ht="15.75" customHeight="1" x14ac:dyDescent="0.2">
      <c r="A61" s="345"/>
      <c r="B61" s="346"/>
      <c r="C61" s="346"/>
      <c r="D61" s="346"/>
      <c r="E61" s="347"/>
      <c r="F61" s="347"/>
      <c r="G61" s="346"/>
      <c r="H61" s="511" t="s">
        <v>301</v>
      </c>
      <c r="I61" s="511"/>
    </row>
    <row r="62" spans="1:9" ht="15.75" customHeight="1" thickBot="1" x14ac:dyDescent="0.25">
      <c r="A62" s="345"/>
      <c r="B62" s="346"/>
      <c r="C62" s="346"/>
      <c r="D62" s="346"/>
      <c r="E62" s="347"/>
      <c r="F62" s="347"/>
      <c r="G62" s="346"/>
      <c r="H62" s="270"/>
      <c r="I62" s="271" t="s">
        <v>258</v>
      </c>
    </row>
    <row r="63" spans="1:9" ht="21.95" customHeight="1" thickBot="1" x14ac:dyDescent="0.25">
      <c r="A63" s="502" t="s">
        <v>302</v>
      </c>
      <c r="B63" s="504" t="s">
        <v>303</v>
      </c>
      <c r="C63" s="505"/>
      <c r="D63" s="505"/>
      <c r="E63" s="506"/>
      <c r="F63" s="507" t="s">
        <v>304</v>
      </c>
      <c r="G63" s="508"/>
      <c r="H63" s="508"/>
      <c r="I63" s="509"/>
    </row>
    <row r="64" spans="1:9" ht="40.5" customHeight="1" thickBot="1" x14ac:dyDescent="0.25">
      <c r="A64" s="503"/>
      <c r="B64" s="272" t="s">
        <v>228</v>
      </c>
      <c r="C64" s="272" t="s">
        <v>244</v>
      </c>
      <c r="D64" s="273" t="s">
        <v>245</v>
      </c>
      <c r="E64" s="375" t="s">
        <v>223</v>
      </c>
      <c r="F64" s="272" t="s">
        <v>228</v>
      </c>
      <c r="G64" s="272" t="s">
        <v>244</v>
      </c>
      <c r="H64" s="273" t="s">
        <v>245</v>
      </c>
      <c r="I64" s="375" t="s">
        <v>223</v>
      </c>
    </row>
    <row r="65" spans="1:9" ht="23.25" customHeight="1" thickBot="1" x14ac:dyDescent="0.25">
      <c r="A65" s="274" t="s">
        <v>262</v>
      </c>
      <c r="B65" s="275">
        <f>SUM(B66:B70)</f>
        <v>105340</v>
      </c>
      <c r="C65" s="276">
        <f>SUM(C66:C70)</f>
        <v>105340</v>
      </c>
      <c r="D65" s="276">
        <f>SUM(D66:D70)</f>
        <v>51282.840000000004</v>
      </c>
      <c r="E65" s="277">
        <f>D65/C65*100</f>
        <v>48.68315929371559</v>
      </c>
      <c r="F65" s="275">
        <f>SUM(F66:F70)</f>
        <v>107461</v>
      </c>
      <c r="G65" s="276">
        <f>SUM(G66:G70)</f>
        <v>107461</v>
      </c>
      <c r="H65" s="276">
        <f>SUM(H66:H70)</f>
        <v>36881.46</v>
      </c>
      <c r="I65" s="277">
        <f t="shared" ref="I65:I103" si="9">H65/G65*100</f>
        <v>34.320786145671448</v>
      </c>
    </row>
    <row r="66" spans="1:9" ht="16.899999999999999" customHeight="1" x14ac:dyDescent="0.2">
      <c r="A66" s="283" t="s">
        <v>263</v>
      </c>
      <c r="B66" s="295">
        <v>40000</v>
      </c>
      <c r="C66" s="296">
        <v>40000</v>
      </c>
      <c r="D66" s="297">
        <v>14819</v>
      </c>
      <c r="E66" s="298">
        <f>D66/C66*100</f>
        <v>37.047499999999999</v>
      </c>
      <c r="F66" s="295">
        <v>41900</v>
      </c>
      <c r="G66" s="296">
        <v>41900</v>
      </c>
      <c r="H66" s="297">
        <v>15963.1</v>
      </c>
      <c r="I66" s="298">
        <f t="shared" si="9"/>
        <v>38.098090692124103</v>
      </c>
    </row>
    <row r="67" spans="1:9" ht="16.899999999999999" customHeight="1" x14ac:dyDescent="0.2">
      <c r="A67" s="283" t="s">
        <v>264</v>
      </c>
      <c r="B67" s="284">
        <v>32000</v>
      </c>
      <c r="C67" s="286">
        <v>32000</v>
      </c>
      <c r="D67" s="285">
        <v>9702.65</v>
      </c>
      <c r="E67" s="287">
        <f>D67/C67*100</f>
        <v>30.32078125</v>
      </c>
      <c r="F67" s="284">
        <v>35328</v>
      </c>
      <c r="G67" s="286">
        <v>35328</v>
      </c>
      <c r="H67" s="285">
        <v>7739.78</v>
      </c>
      <c r="I67" s="287">
        <f t="shared" si="9"/>
        <v>21.908344655797102</v>
      </c>
    </row>
    <row r="68" spans="1:9" ht="16.899999999999999" customHeight="1" x14ac:dyDescent="0.2">
      <c r="A68" s="288" t="s">
        <v>265</v>
      </c>
      <c r="B68" s="284">
        <v>14940</v>
      </c>
      <c r="C68" s="286">
        <v>14940</v>
      </c>
      <c r="D68" s="285">
        <v>12505.62</v>
      </c>
      <c r="E68" s="348">
        <f>D68/C68*100</f>
        <v>83.705622489959836</v>
      </c>
      <c r="F68" s="284">
        <v>6539</v>
      </c>
      <c r="G68" s="286">
        <v>6539</v>
      </c>
      <c r="H68" s="285">
        <v>3720.12</v>
      </c>
      <c r="I68" s="348">
        <f t="shared" si="9"/>
        <v>56.891267777947697</v>
      </c>
    </row>
    <row r="69" spans="1:9" ht="16.899999999999999" customHeight="1" x14ac:dyDescent="0.2">
      <c r="A69" s="283" t="s">
        <v>266</v>
      </c>
      <c r="B69" s="284">
        <v>18400</v>
      </c>
      <c r="C69" s="286">
        <v>18400</v>
      </c>
      <c r="D69" s="285">
        <v>9005.32</v>
      </c>
      <c r="E69" s="348">
        <f t="shared" ref="E69:E103" si="10">D69/C69*100</f>
        <v>48.941956521739129</v>
      </c>
      <c r="F69" s="284">
        <v>23692</v>
      </c>
      <c r="G69" s="286">
        <v>23692</v>
      </c>
      <c r="H69" s="285">
        <f>8205.55+664.8</f>
        <v>8870.3499999999985</v>
      </c>
      <c r="I69" s="348">
        <f t="shared" si="9"/>
        <v>37.44027519837919</v>
      </c>
    </row>
    <row r="70" spans="1:9" ht="16.899999999999999" customHeight="1" thickBot="1" x14ac:dyDescent="0.25">
      <c r="A70" s="418" t="s">
        <v>267</v>
      </c>
      <c r="B70" s="289">
        <v>0</v>
      </c>
      <c r="C70" s="291">
        <v>0</v>
      </c>
      <c r="D70" s="290">
        <f>500+700+570+0.05+7.85+3472.35</f>
        <v>5250.25</v>
      </c>
      <c r="E70" s="349"/>
      <c r="F70" s="289">
        <v>2</v>
      </c>
      <c r="G70" s="291">
        <v>2</v>
      </c>
      <c r="H70" s="290">
        <f>6.26+581.85</f>
        <v>588.11</v>
      </c>
      <c r="I70" s="349"/>
    </row>
    <row r="71" spans="1:9" ht="28.5" customHeight="1" thickBot="1" x14ac:dyDescent="0.25">
      <c r="A71" s="293" t="s">
        <v>268</v>
      </c>
      <c r="B71" s="275">
        <f>B75+B86+B87</f>
        <v>943712</v>
      </c>
      <c r="C71" s="276">
        <f>C75+C86+C87</f>
        <v>1051308</v>
      </c>
      <c r="D71" s="276">
        <f>D75+D86+D87</f>
        <v>449504.48</v>
      </c>
      <c r="E71" s="277">
        <f t="shared" si="10"/>
        <v>42.756687859314304</v>
      </c>
      <c r="F71" s="275">
        <f>F75+F86+F87</f>
        <v>826080</v>
      </c>
      <c r="G71" s="276">
        <f>G75+G86+G87</f>
        <v>887016</v>
      </c>
      <c r="H71" s="276">
        <f>H75+H86+H87</f>
        <v>376142.48</v>
      </c>
      <c r="I71" s="277">
        <f t="shared" si="9"/>
        <v>42.405377129612091</v>
      </c>
    </row>
    <row r="72" spans="1:9" ht="16.899999999999999" customHeight="1" x14ac:dyDescent="0.2">
      <c r="A72" s="419" t="s">
        <v>269</v>
      </c>
      <c r="B72" s="279">
        <v>835138</v>
      </c>
      <c r="C72" s="281">
        <v>902698</v>
      </c>
      <c r="D72" s="280">
        <v>366260.56</v>
      </c>
      <c r="E72" s="282">
        <f t="shared" si="10"/>
        <v>40.573985984238362</v>
      </c>
      <c r="F72" s="279">
        <v>721263</v>
      </c>
      <c r="G72" s="281">
        <v>749312</v>
      </c>
      <c r="H72" s="280">
        <v>312592.78999999998</v>
      </c>
      <c r="I72" s="282">
        <f t="shared" si="9"/>
        <v>41.717307343269553</v>
      </c>
    </row>
    <row r="73" spans="1:9" ht="16.899999999999999" customHeight="1" x14ac:dyDescent="0.2">
      <c r="A73" s="299" t="s">
        <v>270</v>
      </c>
      <c r="B73" s="284">
        <v>108574</v>
      </c>
      <c r="C73" s="286">
        <v>112000</v>
      </c>
      <c r="D73" s="285">
        <v>40224.11</v>
      </c>
      <c r="E73" s="287">
        <f t="shared" si="10"/>
        <v>35.914383928571432</v>
      </c>
      <c r="F73" s="284">
        <v>104817</v>
      </c>
      <c r="G73" s="286">
        <v>107000</v>
      </c>
      <c r="H73" s="285">
        <v>38429.18</v>
      </c>
      <c r="I73" s="287">
        <f t="shared" si="9"/>
        <v>35.915121495327099</v>
      </c>
    </row>
    <row r="74" spans="1:9" ht="16.899999999999999" customHeight="1" thickBot="1" x14ac:dyDescent="0.25">
      <c r="A74" s="299" t="s">
        <v>271</v>
      </c>
      <c r="B74" s="289"/>
      <c r="C74" s="291"/>
      <c r="D74" s="290">
        <v>27114.12</v>
      </c>
      <c r="E74" s="292"/>
      <c r="F74" s="289"/>
      <c r="G74" s="291"/>
      <c r="H74" s="290">
        <v>10806.83</v>
      </c>
      <c r="I74" s="292"/>
    </row>
    <row r="75" spans="1:9" ht="22.5" customHeight="1" thickBot="1" x14ac:dyDescent="0.25">
      <c r="A75" s="300" t="s">
        <v>272</v>
      </c>
      <c r="B75" s="301">
        <f t="shared" ref="B75:D75" si="11">SUM(B72:B74)</f>
        <v>943712</v>
      </c>
      <c r="C75" s="302">
        <f t="shared" si="11"/>
        <v>1014698</v>
      </c>
      <c r="D75" s="303">
        <f t="shared" si="11"/>
        <v>433598.79</v>
      </c>
      <c r="E75" s="304">
        <f t="shared" si="10"/>
        <v>42.731806902152165</v>
      </c>
      <c r="F75" s="301">
        <f t="shared" ref="F75:H75" si="12">SUM(F72:F74)</f>
        <v>826080</v>
      </c>
      <c r="G75" s="302">
        <f t="shared" si="12"/>
        <v>856312</v>
      </c>
      <c r="H75" s="303">
        <f t="shared" si="12"/>
        <v>361828.8</v>
      </c>
      <c r="I75" s="304">
        <f t="shared" si="9"/>
        <v>42.254318519418156</v>
      </c>
    </row>
    <row r="76" spans="1:9" ht="16.899999999999999" customHeight="1" x14ac:dyDescent="0.2">
      <c r="A76" s="305" t="s">
        <v>273</v>
      </c>
      <c r="B76" s="279">
        <v>0</v>
      </c>
      <c r="C76" s="281">
        <v>15264</v>
      </c>
      <c r="D76" s="280">
        <v>3740.49</v>
      </c>
      <c r="E76" s="282">
        <f t="shared" si="10"/>
        <v>24.505306603773583</v>
      </c>
      <c r="F76" s="279">
        <v>0</v>
      </c>
      <c r="G76" s="281">
        <v>13984</v>
      </c>
      <c r="H76" s="280">
        <v>5564.43</v>
      </c>
      <c r="I76" s="282">
        <f t="shared" si="9"/>
        <v>39.791404462242561</v>
      </c>
    </row>
    <row r="77" spans="1:9" ht="16.899999999999999" customHeight="1" x14ac:dyDescent="0.2">
      <c r="A77" s="307" t="s">
        <v>274</v>
      </c>
      <c r="B77" s="284">
        <v>0</v>
      </c>
      <c r="C77" s="286">
        <v>0</v>
      </c>
      <c r="D77" s="285">
        <v>0</v>
      </c>
      <c r="E77" s="287"/>
      <c r="F77" s="284">
        <v>0</v>
      </c>
      <c r="G77" s="286">
        <v>0</v>
      </c>
      <c r="H77" s="285">
        <v>0</v>
      </c>
      <c r="I77" s="287"/>
    </row>
    <row r="78" spans="1:9" ht="16.899999999999999" customHeight="1" x14ac:dyDescent="0.2">
      <c r="A78" s="307" t="s">
        <v>275</v>
      </c>
      <c r="B78" s="284">
        <v>0</v>
      </c>
      <c r="C78" s="286">
        <v>7396</v>
      </c>
      <c r="D78" s="285">
        <v>6015.2</v>
      </c>
      <c r="E78" s="287">
        <f t="shared" si="10"/>
        <v>81.33044889129259</v>
      </c>
      <c r="F78" s="284">
        <v>0</v>
      </c>
      <c r="G78" s="286">
        <v>3170</v>
      </c>
      <c r="H78" s="285">
        <v>2599.25</v>
      </c>
      <c r="I78" s="287"/>
    </row>
    <row r="79" spans="1:9" ht="16.899999999999999" customHeight="1" x14ac:dyDescent="0.2">
      <c r="A79" s="307" t="s">
        <v>276</v>
      </c>
      <c r="B79" s="284">
        <v>0</v>
      </c>
      <c r="C79" s="286">
        <v>0</v>
      </c>
      <c r="D79" s="285">
        <v>0</v>
      </c>
      <c r="E79" s="287"/>
      <c r="F79" s="284">
        <v>0</v>
      </c>
      <c r="G79" s="286">
        <v>0</v>
      </c>
      <c r="H79" s="285">
        <v>0</v>
      </c>
      <c r="I79" s="287"/>
    </row>
    <row r="80" spans="1:9" ht="16.899999999999999" customHeight="1" x14ac:dyDescent="0.2">
      <c r="A80" s="309" t="s">
        <v>277</v>
      </c>
      <c r="B80" s="284">
        <v>0</v>
      </c>
      <c r="C80" s="286">
        <v>0</v>
      </c>
      <c r="D80" s="285">
        <v>0</v>
      </c>
      <c r="E80" s="287"/>
      <c r="F80" s="284">
        <v>0</v>
      </c>
      <c r="G80" s="286">
        <v>0</v>
      </c>
      <c r="H80" s="285">
        <v>0</v>
      </c>
      <c r="I80" s="287"/>
    </row>
    <row r="81" spans="1:9" ht="16.899999999999999" customHeight="1" x14ac:dyDescent="0.2">
      <c r="A81" s="309" t="s">
        <v>278</v>
      </c>
      <c r="B81" s="284">
        <v>0</v>
      </c>
      <c r="C81" s="286">
        <v>0</v>
      </c>
      <c r="D81" s="285">
        <v>0</v>
      </c>
      <c r="E81" s="287"/>
      <c r="F81" s="284">
        <v>0</v>
      </c>
      <c r="G81" s="286">
        <v>0</v>
      </c>
      <c r="H81" s="285">
        <v>0</v>
      </c>
      <c r="I81" s="287"/>
    </row>
    <row r="82" spans="1:9" ht="16.899999999999999" customHeight="1" x14ac:dyDescent="0.2">
      <c r="A82" s="309" t="s">
        <v>279</v>
      </c>
      <c r="B82" s="284">
        <v>0</v>
      </c>
      <c r="C82" s="286">
        <v>6150</v>
      </c>
      <c r="D82" s="285">
        <v>6150</v>
      </c>
      <c r="E82" s="287">
        <f t="shared" si="10"/>
        <v>100</v>
      </c>
      <c r="F82" s="284">
        <v>0</v>
      </c>
      <c r="G82" s="286">
        <v>6150</v>
      </c>
      <c r="H82" s="285">
        <v>6150</v>
      </c>
      <c r="I82" s="287">
        <f t="shared" si="9"/>
        <v>100</v>
      </c>
    </row>
    <row r="83" spans="1:9" ht="16.899999999999999" customHeight="1" x14ac:dyDescent="0.2">
      <c r="A83" s="309" t="s">
        <v>280</v>
      </c>
      <c r="B83" s="284">
        <v>0</v>
      </c>
      <c r="C83" s="286">
        <v>7800</v>
      </c>
      <c r="D83" s="285">
        <v>0</v>
      </c>
      <c r="E83" s="287">
        <f t="shared" si="10"/>
        <v>0</v>
      </c>
      <c r="F83" s="284">
        <v>0</v>
      </c>
      <c r="G83" s="286">
        <v>7400</v>
      </c>
      <c r="H83" s="285">
        <v>0</v>
      </c>
      <c r="I83" s="287">
        <f t="shared" si="9"/>
        <v>0</v>
      </c>
    </row>
    <row r="84" spans="1:9" ht="16.899999999999999" customHeight="1" x14ac:dyDescent="0.2">
      <c r="A84" s="309" t="s">
        <v>281</v>
      </c>
      <c r="B84" s="284">
        <v>0</v>
      </c>
      <c r="C84" s="286">
        <v>0</v>
      </c>
      <c r="D84" s="285">
        <v>0</v>
      </c>
      <c r="E84" s="287"/>
      <c r="F84" s="284">
        <v>0</v>
      </c>
      <c r="G84" s="286">
        <v>0</v>
      </c>
      <c r="H84" s="285">
        <v>0</v>
      </c>
      <c r="I84" s="287"/>
    </row>
    <row r="85" spans="1:9" ht="16.899999999999999" customHeight="1" thickBot="1" x14ac:dyDescent="0.25">
      <c r="A85" s="299" t="s">
        <v>282</v>
      </c>
      <c r="B85" s="289">
        <v>0</v>
      </c>
      <c r="C85" s="312">
        <v>0</v>
      </c>
      <c r="D85" s="311">
        <v>0</v>
      </c>
      <c r="E85" s="292"/>
      <c r="F85" s="289">
        <v>0</v>
      </c>
      <c r="G85" s="291">
        <v>0</v>
      </c>
      <c r="H85" s="290">
        <v>0</v>
      </c>
      <c r="I85" s="292"/>
    </row>
    <row r="86" spans="1:9" ht="16.899999999999999" customHeight="1" thickBot="1" x14ac:dyDescent="0.25">
      <c r="A86" s="313" t="s">
        <v>283</v>
      </c>
      <c r="B86" s="314">
        <f>SUM(B76:B85)</f>
        <v>0</v>
      </c>
      <c r="C86" s="315">
        <f>SUM(C76:C85)</f>
        <v>36610</v>
      </c>
      <c r="D86" s="316">
        <f>SUM(D76:D85)</f>
        <v>15905.689999999999</v>
      </c>
      <c r="E86" s="317">
        <f t="shared" si="10"/>
        <v>43.446298825457525</v>
      </c>
      <c r="F86" s="314">
        <f>SUM(F76:F85)</f>
        <v>0</v>
      </c>
      <c r="G86" s="315">
        <f>SUM(G76:G85)</f>
        <v>30704</v>
      </c>
      <c r="H86" s="316">
        <f>SUM(H76:H85)</f>
        <v>14313.68</v>
      </c>
      <c r="I86" s="317">
        <f t="shared" si="9"/>
        <v>46.618290776446067</v>
      </c>
    </row>
    <row r="87" spans="1:9" ht="16.899999999999999" customHeight="1" thickBot="1" x14ac:dyDescent="0.25">
      <c r="A87" s="313" t="s">
        <v>284</v>
      </c>
      <c r="B87" s="314">
        <v>0</v>
      </c>
      <c r="C87" s="319"/>
      <c r="D87" s="318"/>
      <c r="E87" s="317"/>
      <c r="F87" s="314">
        <v>0</v>
      </c>
      <c r="G87" s="319"/>
      <c r="H87" s="318"/>
      <c r="I87" s="317"/>
    </row>
    <row r="88" spans="1:9" ht="24.75" customHeight="1" thickBot="1" x14ac:dyDescent="0.25">
      <c r="A88" s="293" t="s">
        <v>285</v>
      </c>
      <c r="B88" s="275">
        <f>SUM(B89:B93)</f>
        <v>333211</v>
      </c>
      <c r="C88" s="276">
        <f>SUM(C89:C93)</f>
        <v>344899</v>
      </c>
      <c r="D88" s="276">
        <f>SUM(D89:D93)</f>
        <v>126471.75</v>
      </c>
      <c r="E88" s="350">
        <f t="shared" si="10"/>
        <v>36.669213305924345</v>
      </c>
      <c r="F88" s="275">
        <f>SUM(F89:F93)</f>
        <v>283337</v>
      </c>
      <c r="G88" s="276">
        <f>SUM(G89:G93)</f>
        <v>296109</v>
      </c>
      <c r="H88" s="276">
        <f>SUM(H89:H93)</f>
        <v>112957.95</v>
      </c>
      <c r="I88" s="350">
        <f t="shared" si="9"/>
        <v>38.147422064172318</v>
      </c>
    </row>
    <row r="89" spans="1:9" ht="16.899999999999999" customHeight="1" x14ac:dyDescent="0.2">
      <c r="A89" s="320" t="s">
        <v>286</v>
      </c>
      <c r="B89" s="279">
        <v>0</v>
      </c>
      <c r="C89" s="281">
        <v>0</v>
      </c>
      <c r="D89" s="280">
        <v>0</v>
      </c>
      <c r="E89" s="282"/>
      <c r="F89" s="279">
        <v>0</v>
      </c>
      <c r="G89" s="281">
        <v>4500</v>
      </c>
      <c r="H89" s="280">
        <f>1.18+143.1+126.9</f>
        <v>271.18</v>
      </c>
      <c r="I89" s="282"/>
    </row>
    <row r="90" spans="1:9" ht="16.899999999999999" customHeight="1" x14ac:dyDescent="0.2">
      <c r="A90" s="321" t="s">
        <v>287</v>
      </c>
      <c r="B90" s="284">
        <v>118385</v>
      </c>
      <c r="C90" s="286">
        <v>121353</v>
      </c>
      <c r="D90" s="285">
        <v>41632.03</v>
      </c>
      <c r="E90" s="287">
        <f t="shared" si="10"/>
        <v>34.306551959984503</v>
      </c>
      <c r="F90" s="284">
        <v>109483</v>
      </c>
      <c r="G90" s="286">
        <v>109483</v>
      </c>
      <c r="H90" s="285">
        <v>39970.99</v>
      </c>
      <c r="I90" s="287">
        <f t="shared" si="9"/>
        <v>36.50885525606715</v>
      </c>
    </row>
    <row r="91" spans="1:9" ht="16.899999999999999" customHeight="1" x14ac:dyDescent="0.2">
      <c r="A91" s="322" t="s">
        <v>288</v>
      </c>
      <c r="B91" s="284">
        <v>22960</v>
      </c>
      <c r="C91" s="286">
        <v>22960</v>
      </c>
      <c r="D91" s="285">
        <v>9648.2199999999993</v>
      </c>
      <c r="E91" s="287">
        <f t="shared" si="10"/>
        <v>42.021864111498253</v>
      </c>
      <c r="F91" s="284">
        <v>21280</v>
      </c>
      <c r="G91" s="286">
        <v>21280</v>
      </c>
      <c r="H91" s="285">
        <v>6410.88</v>
      </c>
      <c r="I91" s="287">
        <f t="shared" si="9"/>
        <v>30.126315789473683</v>
      </c>
    </row>
    <row r="92" spans="1:9" ht="16.899999999999999" customHeight="1" x14ac:dyDescent="0.2">
      <c r="A92" s="322" t="s">
        <v>289</v>
      </c>
      <c r="B92" s="284">
        <v>183066</v>
      </c>
      <c r="C92" s="286">
        <v>191786</v>
      </c>
      <c r="D92" s="285">
        <v>72563.710000000006</v>
      </c>
      <c r="E92" s="287">
        <f t="shared" si="10"/>
        <v>37.835770077065064</v>
      </c>
      <c r="F92" s="284">
        <v>146174</v>
      </c>
      <c r="G92" s="286">
        <v>154446</v>
      </c>
      <c r="H92" s="285">
        <v>63448.1</v>
      </c>
      <c r="I92" s="287">
        <f t="shared" si="9"/>
        <v>41.081089830749903</v>
      </c>
    </row>
    <row r="93" spans="1:9" ht="16.899999999999999" customHeight="1" thickBot="1" x14ac:dyDescent="0.25">
      <c r="A93" s="323" t="s">
        <v>290</v>
      </c>
      <c r="B93" s="289">
        <v>8800</v>
      </c>
      <c r="C93" s="291">
        <v>8800</v>
      </c>
      <c r="D93" s="290">
        <v>2627.79</v>
      </c>
      <c r="E93" s="292">
        <f t="shared" si="10"/>
        <v>29.861250000000002</v>
      </c>
      <c r="F93" s="289">
        <v>6400</v>
      </c>
      <c r="G93" s="291">
        <v>6400</v>
      </c>
      <c r="H93" s="290">
        <v>2856.8</v>
      </c>
      <c r="I93" s="292">
        <f t="shared" si="9"/>
        <v>44.637500000000003</v>
      </c>
    </row>
    <row r="94" spans="1:9" ht="16.899999999999999" customHeight="1" thickBot="1" x14ac:dyDescent="0.25">
      <c r="A94" s="420" t="s">
        <v>291</v>
      </c>
      <c r="B94" s="325">
        <v>18400</v>
      </c>
      <c r="C94" s="327">
        <v>18400</v>
      </c>
      <c r="D94" s="326">
        <v>9983.1</v>
      </c>
      <c r="E94" s="328">
        <f t="shared" si="10"/>
        <v>54.255978260869561</v>
      </c>
      <c r="F94" s="325">
        <v>23692</v>
      </c>
      <c r="G94" s="327">
        <v>23692</v>
      </c>
      <c r="H94" s="326">
        <v>12673.93</v>
      </c>
      <c r="I94" s="328">
        <f t="shared" si="9"/>
        <v>53.494555124092521</v>
      </c>
    </row>
    <row r="95" spans="1:9" ht="16.899999999999999" customHeight="1" thickBot="1" x14ac:dyDescent="0.25">
      <c r="A95" s="421" t="s">
        <v>292</v>
      </c>
      <c r="B95" s="325">
        <v>90000</v>
      </c>
      <c r="C95" s="327">
        <v>90000</v>
      </c>
      <c r="D95" s="326">
        <v>14005.2</v>
      </c>
      <c r="E95" s="328">
        <f t="shared" si="10"/>
        <v>15.561333333333335</v>
      </c>
      <c r="F95" s="325">
        <v>85752</v>
      </c>
      <c r="G95" s="327">
        <v>85752</v>
      </c>
      <c r="H95" s="326">
        <v>15266.4</v>
      </c>
      <c r="I95" s="328">
        <f t="shared" si="9"/>
        <v>17.802966694654351</v>
      </c>
    </row>
    <row r="96" spans="1:9" ht="16.899999999999999" customHeight="1" thickBot="1" x14ac:dyDescent="0.25">
      <c r="A96" s="421" t="s">
        <v>293</v>
      </c>
      <c r="B96" s="325">
        <v>0</v>
      </c>
      <c r="C96" s="327">
        <v>0</v>
      </c>
      <c r="D96" s="326">
        <v>698.8</v>
      </c>
      <c r="E96" s="328"/>
      <c r="F96" s="325">
        <v>0</v>
      </c>
      <c r="G96" s="327">
        <v>0</v>
      </c>
      <c r="H96" s="326">
        <v>310.8</v>
      </c>
      <c r="I96" s="328"/>
    </row>
    <row r="97" spans="1:9" ht="19.5" customHeight="1" thickBot="1" x14ac:dyDescent="0.25">
      <c r="A97" s="330" t="s">
        <v>294</v>
      </c>
      <c r="B97" s="275">
        <f t="shared" ref="B97:D97" si="13">SUM(B98:B99)</f>
        <v>0</v>
      </c>
      <c r="C97" s="276">
        <f t="shared" si="13"/>
        <v>0</v>
      </c>
      <c r="D97" s="276">
        <f t="shared" si="13"/>
        <v>0</v>
      </c>
      <c r="E97" s="350"/>
      <c r="F97" s="275">
        <f t="shared" ref="F97:H97" si="14">SUM(F98:F99)</f>
        <v>0</v>
      </c>
      <c r="G97" s="276">
        <f t="shared" si="14"/>
        <v>0</v>
      </c>
      <c r="H97" s="276">
        <f t="shared" si="14"/>
        <v>0</v>
      </c>
      <c r="I97" s="350"/>
    </row>
    <row r="98" spans="1:9" ht="16.899999999999999" customHeight="1" thickBot="1" x14ac:dyDescent="0.25">
      <c r="A98" s="331" t="s">
        <v>295</v>
      </c>
      <c r="B98" s="279">
        <v>0</v>
      </c>
      <c r="C98" s="332">
        <v>0</v>
      </c>
      <c r="D98" s="333">
        <v>0</v>
      </c>
      <c r="E98" s="282"/>
      <c r="F98" s="279">
        <v>0</v>
      </c>
      <c r="G98" s="281">
        <v>0</v>
      </c>
      <c r="H98" s="280"/>
      <c r="I98" s="282"/>
    </row>
    <row r="99" spans="1:9" ht="16.899999999999999" customHeight="1" thickBot="1" x14ac:dyDescent="0.25">
      <c r="A99" s="335" t="s">
        <v>296</v>
      </c>
      <c r="B99" s="289">
        <v>0</v>
      </c>
      <c r="C99" s="336">
        <v>0</v>
      </c>
      <c r="D99" s="337"/>
      <c r="E99" s="292"/>
      <c r="F99" s="289">
        <v>0</v>
      </c>
      <c r="G99" s="291">
        <v>0</v>
      </c>
      <c r="H99" s="290">
        <v>0</v>
      </c>
      <c r="I99" s="292"/>
    </row>
    <row r="100" spans="1:9" ht="21.75" customHeight="1" thickBot="1" x14ac:dyDescent="0.25">
      <c r="A100" s="274" t="s">
        <v>297</v>
      </c>
      <c r="B100" s="339">
        <f t="shared" ref="B100:G100" si="15">B71+B88+B97+B94+B95</f>
        <v>1385323</v>
      </c>
      <c r="C100" s="344">
        <f t="shared" si="15"/>
        <v>1504607</v>
      </c>
      <c r="D100" s="344">
        <f>D71+D88+D97+D94+D95+D96</f>
        <v>600663.32999999996</v>
      </c>
      <c r="E100" s="350">
        <f t="shared" si="10"/>
        <v>39.9216094302366</v>
      </c>
      <c r="F100" s="339">
        <f t="shared" si="15"/>
        <v>1218861</v>
      </c>
      <c r="G100" s="344">
        <f t="shared" si="15"/>
        <v>1292569</v>
      </c>
      <c r="H100" s="344">
        <f>H71+H88+H97+H94+H95+H96</f>
        <v>517351.56</v>
      </c>
      <c r="I100" s="350">
        <f t="shared" si="9"/>
        <v>40.025063265481378</v>
      </c>
    </row>
    <row r="101" spans="1:9" ht="16.899999999999999" customHeight="1" x14ac:dyDescent="0.2">
      <c r="A101" s="340" t="s">
        <v>298</v>
      </c>
      <c r="B101" s="279">
        <v>0</v>
      </c>
      <c r="C101" s="341">
        <v>0</v>
      </c>
      <c r="D101" s="342">
        <v>0</v>
      </c>
      <c r="E101" s="282"/>
      <c r="F101" s="279">
        <v>0</v>
      </c>
      <c r="G101" s="341">
        <v>0</v>
      </c>
      <c r="H101" s="342">
        <v>0</v>
      </c>
      <c r="I101" s="282"/>
    </row>
    <row r="102" spans="1:9" ht="16.899999999999999" customHeight="1" thickBot="1" x14ac:dyDescent="0.25">
      <c r="A102" s="343" t="s">
        <v>299</v>
      </c>
      <c r="B102" s="289">
        <v>0</v>
      </c>
      <c r="C102" s="336">
        <v>0</v>
      </c>
      <c r="D102" s="337">
        <v>0</v>
      </c>
      <c r="E102" s="292"/>
      <c r="F102" s="289">
        <v>0</v>
      </c>
      <c r="G102" s="336">
        <v>0</v>
      </c>
      <c r="H102" s="337">
        <v>0</v>
      </c>
      <c r="I102" s="292"/>
    </row>
    <row r="103" spans="1:9" ht="21.75" customHeight="1" thickBot="1" x14ac:dyDescent="0.25">
      <c r="A103" s="274" t="s">
        <v>300</v>
      </c>
      <c r="B103" s="339">
        <f>SUM(B100:B102)</f>
        <v>1385323</v>
      </c>
      <c r="C103" s="344">
        <f t="shared" ref="C103:D103" si="16">SUM(C100:C102)</f>
        <v>1504607</v>
      </c>
      <c r="D103" s="344">
        <f t="shared" si="16"/>
        <v>600663.32999999996</v>
      </c>
      <c r="E103" s="350">
        <f t="shared" si="10"/>
        <v>39.9216094302366</v>
      </c>
      <c r="F103" s="339">
        <f t="shared" ref="F103:H103" si="17">SUM(F100:F102)</f>
        <v>1218861</v>
      </c>
      <c r="G103" s="344">
        <f t="shared" si="17"/>
        <v>1292569</v>
      </c>
      <c r="H103" s="344">
        <f t="shared" si="17"/>
        <v>517351.56</v>
      </c>
      <c r="I103" s="350">
        <f t="shared" si="9"/>
        <v>40.025063265481378</v>
      </c>
    </row>
    <row r="104" spans="1:9" ht="15.75" customHeight="1" x14ac:dyDescent="0.2">
      <c r="A104" s="345"/>
      <c r="B104" s="346"/>
      <c r="C104" s="346"/>
      <c r="D104" s="346"/>
      <c r="E104" s="347"/>
      <c r="F104" s="351"/>
      <c r="G104" s="351"/>
      <c r="H104" s="351"/>
      <c r="I104" s="352"/>
    </row>
    <row r="105" spans="1:9" ht="15.75" customHeight="1" x14ac:dyDescent="0.2">
      <c r="A105" s="345"/>
      <c r="B105" s="346"/>
      <c r="C105" s="346"/>
      <c r="D105" s="346"/>
      <c r="E105" s="347"/>
      <c r="F105" s="351"/>
      <c r="G105" s="351"/>
      <c r="H105" s="351"/>
      <c r="I105" s="352"/>
    </row>
    <row r="106" spans="1:9" ht="15.75" customHeight="1" x14ac:dyDescent="0.2">
      <c r="A106" s="345"/>
      <c r="B106" s="346"/>
      <c r="C106" s="346"/>
      <c r="D106" s="346"/>
      <c r="E106" s="347"/>
      <c r="F106" s="351"/>
      <c r="G106" s="351"/>
      <c r="H106" s="351"/>
      <c r="I106" s="352"/>
    </row>
    <row r="107" spans="1:9" ht="20.25" customHeight="1" x14ac:dyDescent="0.2">
      <c r="A107" s="345"/>
      <c r="B107" s="346"/>
      <c r="C107" s="346"/>
      <c r="D107" s="346"/>
      <c r="E107" s="347"/>
      <c r="F107" s="351"/>
      <c r="G107" s="351"/>
      <c r="H107" s="351"/>
      <c r="I107" s="352"/>
    </row>
    <row r="108" spans="1:9" ht="15.75" customHeight="1" x14ac:dyDescent="0.2">
      <c r="A108" s="345"/>
      <c r="B108" s="346"/>
      <c r="C108" s="346"/>
      <c r="D108" s="346"/>
      <c r="E108" s="347"/>
      <c r="F108" s="351"/>
      <c r="G108" s="351"/>
      <c r="H108" s="351"/>
      <c r="I108" s="352"/>
    </row>
    <row r="109" spans="1:9" ht="15.75" customHeight="1" x14ac:dyDescent="0.2">
      <c r="A109" s="499" t="s">
        <v>255</v>
      </c>
      <c r="B109" s="500"/>
      <c r="C109" s="500"/>
      <c r="D109" s="500"/>
      <c r="E109" s="500"/>
      <c r="F109" s="500"/>
      <c r="G109" s="500"/>
      <c r="H109" s="500"/>
      <c r="I109" s="352"/>
    </row>
    <row r="110" spans="1:9" ht="15.75" customHeight="1" x14ac:dyDescent="0.2">
      <c r="A110" s="499" t="s">
        <v>256</v>
      </c>
      <c r="B110" s="500"/>
      <c r="C110" s="500"/>
      <c r="D110" s="500"/>
      <c r="E110" s="500"/>
      <c r="F110" s="500"/>
      <c r="G110" s="500"/>
      <c r="H110" s="500"/>
      <c r="I110" s="352"/>
    </row>
    <row r="111" spans="1:9" ht="15.75" customHeight="1" x14ac:dyDescent="0.2">
      <c r="A111" s="345"/>
      <c r="B111" s="346"/>
      <c r="C111" s="346"/>
      <c r="D111" s="346"/>
      <c r="E111" s="347"/>
      <c r="F111" s="347"/>
      <c r="G111" s="346"/>
      <c r="H111" s="346"/>
      <c r="I111" s="347"/>
    </row>
    <row r="112" spans="1:9" ht="13.5" customHeight="1" x14ac:dyDescent="0.2">
      <c r="A112" s="353"/>
      <c r="B112" s="354"/>
      <c r="C112" s="354"/>
      <c r="D112" s="354"/>
      <c r="E112" s="354"/>
      <c r="F112" s="354"/>
      <c r="G112" s="355"/>
      <c r="H112" s="510" t="s">
        <v>305</v>
      </c>
      <c r="I112" s="510"/>
    </row>
    <row r="113" spans="1:9" ht="14.25" customHeight="1" thickBot="1" x14ac:dyDescent="0.25">
      <c r="A113" s="356"/>
      <c r="B113" s="357"/>
      <c r="C113" s="358"/>
      <c r="D113" s="358"/>
      <c r="E113" s="358"/>
      <c r="F113" s="358"/>
      <c r="G113" s="358"/>
      <c r="H113" s="355"/>
      <c r="I113" s="271" t="s">
        <v>258</v>
      </c>
    </row>
    <row r="114" spans="1:9" ht="21.95" customHeight="1" thickBot="1" x14ac:dyDescent="0.25">
      <c r="A114" s="502" t="s">
        <v>302</v>
      </c>
      <c r="B114" s="504" t="s">
        <v>98</v>
      </c>
      <c r="C114" s="505"/>
      <c r="D114" s="505"/>
      <c r="E114" s="506"/>
      <c r="F114" s="504" t="s">
        <v>306</v>
      </c>
      <c r="G114" s="505"/>
      <c r="H114" s="505"/>
      <c r="I114" s="506"/>
    </row>
    <row r="115" spans="1:9" ht="41.25" customHeight="1" thickBot="1" x14ac:dyDescent="0.25">
      <c r="A115" s="503"/>
      <c r="B115" s="272" t="s">
        <v>228</v>
      </c>
      <c r="C115" s="272" t="s">
        <v>244</v>
      </c>
      <c r="D115" s="273" t="s">
        <v>245</v>
      </c>
      <c r="E115" s="375" t="s">
        <v>223</v>
      </c>
      <c r="F115" s="272" t="s">
        <v>228</v>
      </c>
      <c r="G115" s="272" t="s">
        <v>244</v>
      </c>
      <c r="H115" s="273" t="s">
        <v>245</v>
      </c>
      <c r="I115" s="375" t="s">
        <v>223</v>
      </c>
    </row>
    <row r="116" spans="1:9" ht="24.95" customHeight="1" thickBot="1" x14ac:dyDescent="0.25">
      <c r="A116" s="274" t="s">
        <v>262</v>
      </c>
      <c r="B116" s="275">
        <f>SUM(B117:B121)</f>
        <v>90571</v>
      </c>
      <c r="C116" s="276">
        <f>SUM(C117:C121)</f>
        <v>90571</v>
      </c>
      <c r="D116" s="276">
        <f>SUM(D117:D121)</f>
        <v>33237.11</v>
      </c>
      <c r="E116" s="277">
        <f t="shared" ref="E116:E154" si="18">D116/C116*100</f>
        <v>36.697298252199936</v>
      </c>
      <c r="F116" s="275">
        <f>SUM(F117:F121)</f>
        <v>83640</v>
      </c>
      <c r="G116" s="276">
        <f>SUM(G117:G121)</f>
        <v>83920</v>
      </c>
      <c r="H116" s="276">
        <f>SUM(H117:H121)</f>
        <v>21520.37</v>
      </c>
      <c r="I116" s="277">
        <f t="shared" ref="I116:I138" si="19">H116/G116*100</f>
        <v>25.643910867492849</v>
      </c>
    </row>
    <row r="117" spans="1:9" ht="17.25" customHeight="1" x14ac:dyDescent="0.2">
      <c r="A117" s="283" t="s">
        <v>263</v>
      </c>
      <c r="B117" s="295">
        <v>40860</v>
      </c>
      <c r="C117" s="296">
        <v>40860</v>
      </c>
      <c r="D117" s="297">
        <f>9606+1181.5</f>
        <v>10787.5</v>
      </c>
      <c r="E117" s="298">
        <f t="shared" si="18"/>
        <v>26.401125795398922</v>
      </c>
      <c r="F117" s="295">
        <v>39650</v>
      </c>
      <c r="G117" s="296">
        <v>39650</v>
      </c>
      <c r="H117" s="297">
        <v>11543</v>
      </c>
      <c r="I117" s="298">
        <f t="shared" si="19"/>
        <v>29.112232030264817</v>
      </c>
    </row>
    <row r="118" spans="1:9" ht="16.5" customHeight="1" x14ac:dyDescent="0.2">
      <c r="A118" s="283" t="s">
        <v>264</v>
      </c>
      <c r="B118" s="284">
        <v>23578</v>
      </c>
      <c r="C118" s="286">
        <v>23578</v>
      </c>
      <c r="D118" s="285">
        <v>5589.7</v>
      </c>
      <c r="E118" s="287">
        <f t="shared" si="18"/>
        <v>23.707269488506235</v>
      </c>
      <c r="F118" s="284">
        <v>28032</v>
      </c>
      <c r="G118" s="286">
        <v>28032</v>
      </c>
      <c r="H118" s="285">
        <v>5813.6</v>
      </c>
      <c r="I118" s="287">
        <f t="shared" si="19"/>
        <v>20.739155251141554</v>
      </c>
    </row>
    <row r="119" spans="1:9" ht="15.75" customHeight="1" x14ac:dyDescent="0.2">
      <c r="A119" s="288" t="s">
        <v>265</v>
      </c>
      <c r="B119" s="284">
        <v>9108</v>
      </c>
      <c r="C119" s="286">
        <v>9108</v>
      </c>
      <c r="D119" s="285">
        <f>3883.46+451.98</f>
        <v>4335.4400000000005</v>
      </c>
      <c r="E119" s="348">
        <f t="shared" si="18"/>
        <v>47.600351339481776</v>
      </c>
      <c r="F119" s="284">
        <v>3115</v>
      </c>
      <c r="G119" s="286">
        <v>3115</v>
      </c>
      <c r="H119" s="285">
        <v>1008.91</v>
      </c>
      <c r="I119" s="348">
        <f t="shared" si="19"/>
        <v>32.388764044943819</v>
      </c>
    </row>
    <row r="120" spans="1:9" ht="15.75" customHeight="1" x14ac:dyDescent="0.2">
      <c r="A120" s="283" t="s">
        <v>266</v>
      </c>
      <c r="B120" s="284">
        <v>17025</v>
      </c>
      <c r="C120" s="286">
        <v>17025</v>
      </c>
      <c r="D120" s="285">
        <f>6731.95+426</f>
        <v>7157.95</v>
      </c>
      <c r="E120" s="348">
        <f t="shared" si="18"/>
        <v>42.043759177679881</v>
      </c>
      <c r="F120" s="284">
        <v>12843</v>
      </c>
      <c r="G120" s="286">
        <v>12843</v>
      </c>
      <c r="H120" s="285">
        <v>2730.32</v>
      </c>
      <c r="I120" s="348">
        <f t="shared" si="19"/>
        <v>21.259207350307562</v>
      </c>
    </row>
    <row r="121" spans="1:9" ht="16.5" customHeight="1" thickBot="1" x14ac:dyDescent="0.25">
      <c r="A121" s="418" t="s">
        <v>267</v>
      </c>
      <c r="B121" s="289">
        <v>0</v>
      </c>
      <c r="C121" s="291">
        <v>0</v>
      </c>
      <c r="D121" s="290">
        <f>450+250+5.93+4409.08+251.51</f>
        <v>5366.52</v>
      </c>
      <c r="E121" s="349"/>
      <c r="F121" s="289">
        <v>0</v>
      </c>
      <c r="G121" s="291">
        <v>280</v>
      </c>
      <c r="H121" s="290">
        <f>280+138.2+6.34</f>
        <v>424.53999999999996</v>
      </c>
      <c r="I121" s="349">
        <f t="shared" si="19"/>
        <v>151.62142857142854</v>
      </c>
    </row>
    <row r="122" spans="1:9" ht="24.95" customHeight="1" thickBot="1" x14ac:dyDescent="0.25">
      <c r="A122" s="293" t="s">
        <v>268</v>
      </c>
      <c r="B122" s="275">
        <f>B126+B137+B138</f>
        <v>819900</v>
      </c>
      <c r="C122" s="276">
        <f>C126+C137+C138</f>
        <v>877900</v>
      </c>
      <c r="D122" s="276">
        <f>D126+D137+D138</f>
        <v>379641.46</v>
      </c>
      <c r="E122" s="359">
        <f t="shared" si="18"/>
        <v>43.244271557124961</v>
      </c>
      <c r="F122" s="275">
        <f>F126+F137+F138</f>
        <v>797392</v>
      </c>
      <c r="G122" s="276">
        <f>G126+G137+G138</f>
        <v>885435</v>
      </c>
      <c r="H122" s="276">
        <f>H126+H137+H138</f>
        <v>388481.80000000005</v>
      </c>
      <c r="I122" s="359">
        <f t="shared" si="19"/>
        <v>43.874683065385945</v>
      </c>
    </row>
    <row r="123" spans="1:9" ht="21.75" customHeight="1" x14ac:dyDescent="0.2">
      <c r="A123" s="419" t="s">
        <v>269</v>
      </c>
      <c r="B123" s="279">
        <v>674350</v>
      </c>
      <c r="C123" s="281">
        <v>711910</v>
      </c>
      <c r="D123" s="280">
        <v>287883.40000000002</v>
      </c>
      <c r="E123" s="360">
        <f t="shared" si="18"/>
        <v>40.438173364610698</v>
      </c>
      <c r="F123" s="279">
        <v>697199</v>
      </c>
      <c r="G123" s="281">
        <v>755047</v>
      </c>
      <c r="H123" s="280">
        <v>316611.32</v>
      </c>
      <c r="I123" s="360">
        <f t="shared" si="19"/>
        <v>41.932663794439293</v>
      </c>
    </row>
    <row r="124" spans="1:9" ht="19.5" customHeight="1" x14ac:dyDescent="0.2">
      <c r="A124" s="299" t="s">
        <v>270</v>
      </c>
      <c r="B124" s="284">
        <v>145550</v>
      </c>
      <c r="C124" s="286">
        <v>143427</v>
      </c>
      <c r="D124" s="285">
        <v>67702.14</v>
      </c>
      <c r="E124" s="348">
        <f t="shared" si="18"/>
        <v>47.203204417578284</v>
      </c>
      <c r="F124" s="284">
        <v>100193</v>
      </c>
      <c r="G124" s="286">
        <v>105000</v>
      </c>
      <c r="H124" s="285">
        <v>46876.4</v>
      </c>
      <c r="I124" s="348">
        <f t="shared" si="19"/>
        <v>44.644190476190474</v>
      </c>
    </row>
    <row r="125" spans="1:9" ht="18.75" customHeight="1" thickBot="1" x14ac:dyDescent="0.25">
      <c r="A125" s="299" t="s">
        <v>271</v>
      </c>
      <c r="B125" s="289"/>
      <c r="C125" s="291"/>
      <c r="D125" s="290">
        <v>7193.87</v>
      </c>
      <c r="E125" s="349"/>
      <c r="F125" s="289"/>
      <c r="G125" s="291"/>
      <c r="H125" s="290">
        <v>13226.95</v>
      </c>
      <c r="I125" s="348"/>
    </row>
    <row r="126" spans="1:9" ht="24.95" customHeight="1" thickBot="1" x14ac:dyDescent="0.25">
      <c r="A126" s="300" t="s">
        <v>272</v>
      </c>
      <c r="B126" s="325">
        <f>SUM(B123:B125)</f>
        <v>819900</v>
      </c>
      <c r="C126" s="302">
        <f>SUM(C123:C125)</f>
        <v>855337</v>
      </c>
      <c r="D126" s="303">
        <f>SUM(D123:D125)</f>
        <v>362779.41000000003</v>
      </c>
      <c r="E126" s="361">
        <f t="shared" si="18"/>
        <v>42.413622934586023</v>
      </c>
      <c r="F126" s="325">
        <f>SUM(F123:F125)</f>
        <v>797392</v>
      </c>
      <c r="G126" s="302">
        <f>SUM(G123:G125)</f>
        <v>860047</v>
      </c>
      <c r="H126" s="303">
        <f>SUM(H123:H125)</f>
        <v>376714.67000000004</v>
      </c>
      <c r="I126" s="361">
        <f t="shared" si="19"/>
        <v>43.801637584922688</v>
      </c>
    </row>
    <row r="127" spans="1:9" ht="16.5" customHeight="1" x14ac:dyDescent="0.2">
      <c r="A127" s="305" t="s">
        <v>273</v>
      </c>
      <c r="B127" s="279">
        <v>0</v>
      </c>
      <c r="C127" s="281">
        <v>10848</v>
      </c>
      <c r="D127" s="280">
        <v>5309.48</v>
      </c>
      <c r="E127" s="360">
        <f t="shared" si="18"/>
        <v>48.944321533923301</v>
      </c>
      <c r="F127" s="279">
        <v>0</v>
      </c>
      <c r="G127" s="281">
        <v>6016</v>
      </c>
      <c r="H127" s="280">
        <v>1634.45</v>
      </c>
      <c r="I127" s="360">
        <f t="shared" si="19"/>
        <v>27.168384308510639</v>
      </c>
    </row>
    <row r="128" spans="1:9" ht="17.25" customHeight="1" x14ac:dyDescent="0.2">
      <c r="A128" s="307" t="s">
        <v>274</v>
      </c>
      <c r="B128" s="284">
        <v>0</v>
      </c>
      <c r="C128" s="286">
        <v>0</v>
      </c>
      <c r="D128" s="285">
        <v>0</v>
      </c>
      <c r="E128" s="348"/>
      <c r="F128" s="284">
        <v>0</v>
      </c>
      <c r="G128" s="286">
        <v>0</v>
      </c>
      <c r="H128" s="285">
        <v>0</v>
      </c>
      <c r="I128" s="348"/>
    </row>
    <row r="129" spans="1:9" ht="17.25" customHeight="1" x14ac:dyDescent="0.2">
      <c r="A129" s="307" t="s">
        <v>275</v>
      </c>
      <c r="B129" s="284">
        <v>0</v>
      </c>
      <c r="C129" s="286">
        <v>7315</v>
      </c>
      <c r="D129" s="285">
        <v>4585.0200000000004</v>
      </c>
      <c r="E129" s="348">
        <f t="shared" si="18"/>
        <v>62.679699248120301</v>
      </c>
      <c r="F129" s="284">
        <v>0</v>
      </c>
      <c r="G129" s="286">
        <v>12192</v>
      </c>
      <c r="H129" s="285">
        <v>9582.91</v>
      </c>
      <c r="I129" s="348">
        <f t="shared" si="19"/>
        <v>78.599983595800524</v>
      </c>
    </row>
    <row r="130" spans="1:9" ht="17.25" customHeight="1" x14ac:dyDescent="0.2">
      <c r="A130" s="307" t="s">
        <v>276</v>
      </c>
      <c r="B130" s="284">
        <v>0</v>
      </c>
      <c r="C130" s="286">
        <v>0</v>
      </c>
      <c r="D130" s="285">
        <v>0</v>
      </c>
      <c r="E130" s="348"/>
      <c r="F130" s="284">
        <v>0</v>
      </c>
      <c r="G130" s="286">
        <v>0</v>
      </c>
      <c r="H130" s="285">
        <v>0</v>
      </c>
      <c r="I130" s="348"/>
    </row>
    <row r="131" spans="1:9" ht="16.5" customHeight="1" x14ac:dyDescent="0.2">
      <c r="A131" s="309" t="s">
        <v>277</v>
      </c>
      <c r="B131" s="284">
        <v>0</v>
      </c>
      <c r="C131" s="286">
        <v>0</v>
      </c>
      <c r="D131" s="285">
        <v>0</v>
      </c>
      <c r="E131" s="348"/>
      <c r="F131" s="284">
        <v>0</v>
      </c>
      <c r="G131" s="286">
        <v>0</v>
      </c>
      <c r="H131" s="285">
        <v>0</v>
      </c>
      <c r="I131" s="348"/>
    </row>
    <row r="132" spans="1:9" ht="17.25" customHeight="1" x14ac:dyDescent="0.2">
      <c r="A132" s="309" t="s">
        <v>278</v>
      </c>
      <c r="B132" s="284">
        <v>0</v>
      </c>
      <c r="C132" s="286">
        <v>0</v>
      </c>
      <c r="D132" s="285">
        <v>0</v>
      </c>
      <c r="E132" s="348"/>
      <c r="F132" s="284">
        <v>0</v>
      </c>
      <c r="G132" s="286">
        <v>0</v>
      </c>
      <c r="H132" s="285">
        <v>0</v>
      </c>
      <c r="I132" s="348"/>
    </row>
    <row r="133" spans="1:9" ht="17.25" customHeight="1" x14ac:dyDescent="0.2">
      <c r="A133" s="309" t="s">
        <v>279</v>
      </c>
      <c r="B133" s="284">
        <v>0</v>
      </c>
      <c r="C133" s="286">
        <v>0</v>
      </c>
      <c r="D133" s="285">
        <v>0</v>
      </c>
      <c r="E133" s="348"/>
      <c r="F133" s="284">
        <v>0</v>
      </c>
      <c r="G133" s="286">
        <v>0</v>
      </c>
      <c r="H133" s="285">
        <v>0</v>
      </c>
      <c r="I133" s="348"/>
    </row>
    <row r="134" spans="1:9" ht="18" customHeight="1" x14ac:dyDescent="0.2">
      <c r="A134" s="309" t="s">
        <v>280</v>
      </c>
      <c r="B134" s="284">
        <v>0</v>
      </c>
      <c r="C134" s="286">
        <v>4400</v>
      </c>
      <c r="D134" s="285">
        <v>0</v>
      </c>
      <c r="E134" s="348">
        <f t="shared" si="18"/>
        <v>0</v>
      </c>
      <c r="F134" s="284">
        <v>0</v>
      </c>
      <c r="G134" s="286">
        <v>6900</v>
      </c>
      <c r="H134" s="285">
        <v>0</v>
      </c>
      <c r="I134" s="348">
        <f t="shared" si="19"/>
        <v>0</v>
      </c>
    </row>
    <row r="135" spans="1:9" ht="15" customHeight="1" x14ac:dyDescent="0.2">
      <c r="A135" s="309" t="s">
        <v>281</v>
      </c>
      <c r="B135" s="284">
        <v>0</v>
      </c>
      <c r="C135" s="286">
        <v>0</v>
      </c>
      <c r="D135" s="285">
        <v>0</v>
      </c>
      <c r="E135" s="348"/>
      <c r="F135" s="284">
        <v>0</v>
      </c>
      <c r="G135" s="286">
        <v>0</v>
      </c>
      <c r="H135" s="285">
        <v>0</v>
      </c>
      <c r="I135" s="348"/>
    </row>
    <row r="136" spans="1:9" ht="19.5" customHeight="1" thickBot="1" x14ac:dyDescent="0.25">
      <c r="A136" s="299" t="s">
        <v>282</v>
      </c>
      <c r="B136" s="289">
        <v>0</v>
      </c>
      <c r="C136" s="291">
        <v>0</v>
      </c>
      <c r="D136" s="290">
        <v>0</v>
      </c>
      <c r="E136" s="349"/>
      <c r="F136" s="289">
        <v>0</v>
      </c>
      <c r="G136" s="291">
        <v>0</v>
      </c>
      <c r="H136" s="290">
        <v>0</v>
      </c>
      <c r="I136" s="349"/>
    </row>
    <row r="137" spans="1:9" ht="19.5" customHeight="1" thickBot="1" x14ac:dyDescent="0.25">
      <c r="A137" s="313" t="s">
        <v>283</v>
      </c>
      <c r="B137" s="314">
        <f>SUM(B127:B136)</f>
        <v>0</v>
      </c>
      <c r="C137" s="319">
        <f>SUM(C127:C136)</f>
        <v>22563</v>
      </c>
      <c r="D137" s="318">
        <f>SUM(D127:D136)</f>
        <v>9894.5</v>
      </c>
      <c r="E137" s="362">
        <f t="shared" si="18"/>
        <v>43.852767805699592</v>
      </c>
      <c r="F137" s="314">
        <f>SUM(F127:F136)</f>
        <v>0</v>
      </c>
      <c r="G137" s="319">
        <f>SUM(G127:G136)</f>
        <v>25108</v>
      </c>
      <c r="H137" s="318">
        <f>SUM(H127:H136)</f>
        <v>11217.36</v>
      </c>
      <c r="I137" s="362">
        <f t="shared" si="19"/>
        <v>44.676437788752594</v>
      </c>
    </row>
    <row r="138" spans="1:9" ht="17.25" customHeight="1" thickBot="1" x14ac:dyDescent="0.25">
      <c r="A138" s="313" t="s">
        <v>284</v>
      </c>
      <c r="B138" s="314">
        <v>0</v>
      </c>
      <c r="C138" s="319"/>
      <c r="D138" s="318">
        <f>700+6267.55</f>
        <v>6967.55</v>
      </c>
      <c r="E138" s="362"/>
      <c r="F138" s="314">
        <v>0</v>
      </c>
      <c r="G138" s="319">
        <v>280</v>
      </c>
      <c r="H138" s="318">
        <f>280+269.77</f>
        <v>549.77</v>
      </c>
      <c r="I138" s="362">
        <f t="shared" si="19"/>
        <v>196.34642857142856</v>
      </c>
    </row>
    <row r="139" spans="1:9" ht="24.95" customHeight="1" thickBot="1" x14ac:dyDescent="0.25">
      <c r="A139" s="293" t="s">
        <v>285</v>
      </c>
      <c r="B139" s="275">
        <f>SUM(B140:B144)</f>
        <v>296408</v>
      </c>
      <c r="C139" s="276">
        <f>SUM(C140:C144)</f>
        <v>308447</v>
      </c>
      <c r="D139" s="276">
        <f>SUM(D140:D144)</f>
        <v>110426.17</v>
      </c>
      <c r="E139" s="359">
        <f t="shared" si="18"/>
        <v>35.800695095105475</v>
      </c>
      <c r="F139" s="275">
        <f>SUM(F140:F144)</f>
        <v>248232</v>
      </c>
      <c r="G139" s="276">
        <f>SUM(G140:G144)</f>
        <v>260356</v>
      </c>
      <c r="H139" s="276">
        <f>SUM(H140:H144)</f>
        <v>91256.219999999987</v>
      </c>
      <c r="I139" s="277">
        <f>H139/G139*100</f>
        <v>35.050553857026529</v>
      </c>
    </row>
    <row r="140" spans="1:9" ht="18" customHeight="1" x14ac:dyDescent="0.2">
      <c r="A140" s="320" t="s">
        <v>286</v>
      </c>
      <c r="B140" s="279">
        <v>0</v>
      </c>
      <c r="C140" s="281">
        <v>0</v>
      </c>
      <c r="D140" s="280">
        <f>1.11+405+329.93</f>
        <v>736.04</v>
      </c>
      <c r="E140" s="348"/>
      <c r="F140" s="279">
        <v>0</v>
      </c>
      <c r="G140" s="281">
        <v>0</v>
      </c>
      <c r="H140" s="280">
        <v>1.19</v>
      </c>
      <c r="I140" s="334"/>
    </row>
    <row r="141" spans="1:9" ht="15.75" customHeight="1" x14ac:dyDescent="0.2">
      <c r="A141" s="321" t="s">
        <v>287</v>
      </c>
      <c r="B141" s="284">
        <v>99091</v>
      </c>
      <c r="C141" s="286">
        <v>99091</v>
      </c>
      <c r="D141" s="285">
        <v>29996.09</v>
      </c>
      <c r="E141" s="348">
        <f t="shared" si="18"/>
        <v>30.271255714444301</v>
      </c>
      <c r="F141" s="284">
        <v>87829</v>
      </c>
      <c r="G141" s="286">
        <v>88571</v>
      </c>
      <c r="H141" s="285">
        <v>27271.95</v>
      </c>
      <c r="I141" s="363">
        <f t="shared" ref="I141:I154" si="20">H141/G141*100</f>
        <v>30.791060279323933</v>
      </c>
    </row>
    <row r="142" spans="1:9" ht="15" customHeight="1" x14ac:dyDescent="0.2">
      <c r="A142" s="322" t="s">
        <v>288</v>
      </c>
      <c r="B142" s="284">
        <v>14560</v>
      </c>
      <c r="C142" s="286">
        <v>14560</v>
      </c>
      <c r="D142" s="285">
        <v>6964.17</v>
      </c>
      <c r="E142" s="287">
        <f t="shared" si="18"/>
        <v>47.830837912087915</v>
      </c>
      <c r="F142" s="284">
        <v>14560</v>
      </c>
      <c r="G142" s="286">
        <v>14560</v>
      </c>
      <c r="H142" s="285">
        <v>6755.11</v>
      </c>
      <c r="I142" s="363">
        <f t="shared" si="20"/>
        <v>46.394986263736257</v>
      </c>
    </row>
    <row r="143" spans="1:9" ht="15" customHeight="1" x14ac:dyDescent="0.2">
      <c r="A143" s="322" t="s">
        <v>289</v>
      </c>
      <c r="B143" s="284">
        <v>174957</v>
      </c>
      <c r="C143" s="286">
        <v>186996</v>
      </c>
      <c r="D143" s="285">
        <v>68960.7</v>
      </c>
      <c r="E143" s="287">
        <f t="shared" si="18"/>
        <v>36.878168516973624</v>
      </c>
      <c r="F143" s="284">
        <v>139443</v>
      </c>
      <c r="G143" s="286">
        <v>150825</v>
      </c>
      <c r="H143" s="285">
        <v>54643.74</v>
      </c>
      <c r="I143" s="363">
        <f t="shared" si="20"/>
        <v>36.229895574341121</v>
      </c>
    </row>
    <row r="144" spans="1:9" ht="15.75" customHeight="1" thickBot="1" x14ac:dyDescent="0.25">
      <c r="A144" s="323" t="s">
        <v>290</v>
      </c>
      <c r="B144" s="289">
        <v>7800</v>
      </c>
      <c r="C144" s="291">
        <v>7800</v>
      </c>
      <c r="D144" s="290">
        <v>3769.17</v>
      </c>
      <c r="E144" s="292">
        <f t="shared" si="18"/>
        <v>48.322692307692314</v>
      </c>
      <c r="F144" s="289">
        <v>6400</v>
      </c>
      <c r="G144" s="291">
        <v>6400</v>
      </c>
      <c r="H144" s="290">
        <v>2584.23</v>
      </c>
      <c r="I144" s="364">
        <f t="shared" si="20"/>
        <v>40.37859375</v>
      </c>
    </row>
    <row r="145" spans="1:9" ht="15.75" customHeight="1" thickBot="1" x14ac:dyDescent="0.25">
      <c r="A145" s="420" t="s">
        <v>291</v>
      </c>
      <c r="B145" s="325">
        <v>17025</v>
      </c>
      <c r="C145" s="327">
        <v>17025</v>
      </c>
      <c r="D145" s="326">
        <v>7831.77</v>
      </c>
      <c r="E145" s="328">
        <f t="shared" si="18"/>
        <v>46.001585903083701</v>
      </c>
      <c r="F145" s="325">
        <v>12843</v>
      </c>
      <c r="G145" s="327">
        <v>12843</v>
      </c>
      <c r="H145" s="326">
        <v>4718.67</v>
      </c>
      <c r="I145" s="365">
        <f t="shared" si="20"/>
        <v>36.741181966830183</v>
      </c>
    </row>
    <row r="146" spans="1:9" ht="15.75" customHeight="1" thickBot="1" x14ac:dyDescent="0.25">
      <c r="A146" s="421" t="s">
        <v>292</v>
      </c>
      <c r="B146" s="325">
        <v>57607</v>
      </c>
      <c r="C146" s="327">
        <v>57607</v>
      </c>
      <c r="D146" s="326">
        <v>9928.7999999999993</v>
      </c>
      <c r="E146" s="328">
        <f t="shared" si="18"/>
        <v>17.235405419480269</v>
      </c>
      <c r="F146" s="325">
        <v>75110</v>
      </c>
      <c r="G146" s="327">
        <v>75110</v>
      </c>
      <c r="H146" s="326">
        <v>11894.4</v>
      </c>
      <c r="I146" s="365">
        <f t="shared" si="20"/>
        <v>15.83597390493942</v>
      </c>
    </row>
    <row r="147" spans="1:9" ht="15.75" customHeight="1" thickBot="1" x14ac:dyDescent="0.25">
      <c r="A147" s="421" t="s">
        <v>293</v>
      </c>
      <c r="B147" s="325">
        <v>0</v>
      </c>
      <c r="C147" s="327">
        <v>0</v>
      </c>
      <c r="D147" s="326">
        <v>196.8</v>
      </c>
      <c r="E147" s="328"/>
      <c r="F147" s="325">
        <v>0</v>
      </c>
      <c r="G147" s="327">
        <v>0</v>
      </c>
      <c r="H147" s="326">
        <v>0</v>
      </c>
      <c r="I147" s="365"/>
    </row>
    <row r="148" spans="1:9" ht="19.899999999999999" customHeight="1" thickBot="1" x14ac:dyDescent="0.25">
      <c r="A148" s="330" t="s">
        <v>294</v>
      </c>
      <c r="B148" s="275">
        <f t="shared" ref="B148:D148" si="21">SUM(B149:B150)</f>
        <v>0</v>
      </c>
      <c r="C148" s="276">
        <f t="shared" si="21"/>
        <v>0</v>
      </c>
      <c r="D148" s="276">
        <f t="shared" si="21"/>
        <v>0</v>
      </c>
      <c r="E148" s="378"/>
      <c r="F148" s="275">
        <f t="shared" ref="F148:H148" si="22">SUM(F149:F150)</f>
        <v>0</v>
      </c>
      <c r="G148" s="276">
        <f t="shared" si="22"/>
        <v>0</v>
      </c>
      <c r="H148" s="276">
        <f t="shared" si="22"/>
        <v>0</v>
      </c>
      <c r="I148" s="277"/>
    </row>
    <row r="149" spans="1:9" ht="19.899999999999999" customHeight="1" thickBot="1" x14ac:dyDescent="0.25">
      <c r="A149" s="331" t="s">
        <v>295</v>
      </c>
      <c r="B149" s="279">
        <v>0</v>
      </c>
      <c r="C149" s="281">
        <v>0</v>
      </c>
      <c r="D149" s="280">
        <v>0</v>
      </c>
      <c r="E149" s="282"/>
      <c r="F149" s="422">
        <v>0</v>
      </c>
      <c r="G149" s="281">
        <v>0</v>
      </c>
      <c r="H149" s="280">
        <v>0</v>
      </c>
      <c r="I149" s="334"/>
    </row>
    <row r="150" spans="1:9" ht="19.899999999999999" customHeight="1" thickBot="1" x14ac:dyDescent="0.25">
      <c r="A150" s="335" t="s">
        <v>296</v>
      </c>
      <c r="B150" s="289">
        <v>0</v>
      </c>
      <c r="C150" s="291">
        <v>0</v>
      </c>
      <c r="D150" s="290">
        <v>0</v>
      </c>
      <c r="E150" s="292"/>
      <c r="F150" s="423">
        <v>0</v>
      </c>
      <c r="G150" s="291">
        <v>0</v>
      </c>
      <c r="H150" s="290">
        <v>0</v>
      </c>
      <c r="I150" s="338"/>
    </row>
    <row r="151" spans="1:9" ht="19.899999999999999" customHeight="1" thickBot="1" x14ac:dyDescent="0.25">
      <c r="A151" s="274" t="s">
        <v>297</v>
      </c>
      <c r="B151" s="339">
        <f t="shared" ref="B151:C151" si="23">B122+B139+B148+B145+B146</f>
        <v>1190940</v>
      </c>
      <c r="C151" s="344">
        <f t="shared" si="23"/>
        <v>1260979</v>
      </c>
      <c r="D151" s="344">
        <f>D122+D139+D148+D145+D146+D147</f>
        <v>508025</v>
      </c>
      <c r="E151" s="350">
        <f t="shared" si="18"/>
        <v>40.288141198227727</v>
      </c>
      <c r="F151" s="339">
        <f t="shared" ref="F151:G151" si="24">F122+F139+F148+F145+F146</f>
        <v>1133577</v>
      </c>
      <c r="G151" s="344">
        <f t="shared" si="24"/>
        <v>1233744</v>
      </c>
      <c r="H151" s="344">
        <f>H122+H139+H148+H145+H146+H147</f>
        <v>496351.09</v>
      </c>
      <c r="I151" s="277">
        <f t="shared" si="20"/>
        <v>40.231287041720165</v>
      </c>
    </row>
    <row r="152" spans="1:9" ht="19.899999999999999" customHeight="1" x14ac:dyDescent="0.2">
      <c r="A152" s="340" t="s">
        <v>298</v>
      </c>
      <c r="B152" s="279">
        <v>0</v>
      </c>
      <c r="C152" s="341">
        <v>0</v>
      </c>
      <c r="D152" s="342">
        <v>0</v>
      </c>
      <c r="E152" s="282"/>
      <c r="F152" s="279">
        <v>0</v>
      </c>
      <c r="G152" s="341">
        <v>0</v>
      </c>
      <c r="H152" s="342">
        <v>0</v>
      </c>
      <c r="I152" s="334"/>
    </row>
    <row r="153" spans="1:9" ht="19.899999999999999" customHeight="1" thickBot="1" x14ac:dyDescent="0.25">
      <c r="A153" s="343" t="s">
        <v>299</v>
      </c>
      <c r="B153" s="289">
        <v>0</v>
      </c>
      <c r="C153" s="336">
        <v>0</v>
      </c>
      <c r="D153" s="337">
        <v>0</v>
      </c>
      <c r="E153" s="292"/>
      <c r="F153" s="289">
        <v>0</v>
      </c>
      <c r="G153" s="336">
        <v>0</v>
      </c>
      <c r="H153" s="337">
        <v>0</v>
      </c>
      <c r="I153" s="338"/>
    </row>
    <row r="154" spans="1:9" ht="19.899999999999999" customHeight="1" thickBot="1" x14ac:dyDescent="0.25">
      <c r="A154" s="274" t="s">
        <v>300</v>
      </c>
      <c r="B154" s="368">
        <f>SUM(B151:B153)</f>
        <v>1190940</v>
      </c>
      <c r="C154" s="369">
        <f t="shared" ref="C154:D154" si="25">SUM(C151:C153)</f>
        <v>1260979</v>
      </c>
      <c r="D154" s="369">
        <f t="shared" si="25"/>
        <v>508025</v>
      </c>
      <c r="E154" s="350">
        <f t="shared" si="18"/>
        <v>40.288141198227727</v>
      </c>
      <c r="F154" s="368">
        <f>SUM(F151:F153)</f>
        <v>1133577</v>
      </c>
      <c r="G154" s="369">
        <f t="shared" ref="G154:H154" si="26">SUM(G151:G153)</f>
        <v>1233744</v>
      </c>
      <c r="H154" s="369">
        <f t="shared" si="26"/>
        <v>496351.09</v>
      </c>
      <c r="I154" s="277">
        <f t="shared" si="20"/>
        <v>40.231287041720165</v>
      </c>
    </row>
    <row r="155" spans="1:9" ht="16.5" customHeight="1" x14ac:dyDescent="0.2">
      <c r="A155" s="345"/>
      <c r="B155" s="351"/>
      <c r="C155" s="351"/>
      <c r="D155" s="351"/>
      <c r="E155" s="352"/>
      <c r="F155" s="351"/>
      <c r="G155" s="351"/>
      <c r="H155" s="351"/>
      <c r="I155" s="352"/>
    </row>
    <row r="156" spans="1:9" ht="18" customHeight="1" x14ac:dyDescent="0.2">
      <c r="A156" s="345"/>
      <c r="B156" s="351"/>
      <c r="C156" s="351"/>
      <c r="D156" s="351"/>
      <c r="E156" s="352"/>
      <c r="F156" s="351"/>
      <c r="G156" s="351"/>
      <c r="H156" s="351"/>
      <c r="I156" s="352"/>
    </row>
    <row r="157" spans="1:9" ht="25.15" customHeight="1" x14ac:dyDescent="0.2">
      <c r="A157" s="345"/>
      <c r="B157" s="351"/>
      <c r="C157" s="351"/>
      <c r="D157" s="351"/>
      <c r="E157" s="352"/>
      <c r="F157" s="351"/>
      <c r="G157" s="351"/>
      <c r="H157" s="351"/>
      <c r="I157" s="352"/>
    </row>
    <row r="158" spans="1:9" ht="16.5" customHeight="1" x14ac:dyDescent="0.2">
      <c r="A158" s="345"/>
      <c r="B158" s="351"/>
      <c r="C158" s="351"/>
      <c r="D158" s="351"/>
      <c r="E158" s="352"/>
      <c r="F158" s="351"/>
      <c r="G158" s="351"/>
      <c r="H158" s="351"/>
      <c r="I158" s="352"/>
    </row>
    <row r="159" spans="1:9" ht="16.5" customHeight="1" x14ac:dyDescent="0.2">
      <c r="A159" s="345"/>
      <c r="B159" s="351"/>
      <c r="C159" s="351"/>
      <c r="D159" s="351"/>
      <c r="E159" s="352"/>
      <c r="F159" s="351"/>
      <c r="G159" s="351"/>
      <c r="H159" s="351"/>
      <c r="I159" s="352"/>
    </row>
    <row r="160" spans="1:9" ht="12.75" customHeight="1" x14ac:dyDescent="0.2">
      <c r="A160" s="499" t="s">
        <v>255</v>
      </c>
      <c r="B160" s="500"/>
      <c r="C160" s="500"/>
      <c r="D160" s="500"/>
      <c r="E160" s="500"/>
      <c r="F160" s="500"/>
      <c r="G160" s="500"/>
      <c r="H160" s="500"/>
      <c r="I160" s="352"/>
    </row>
    <row r="161" spans="1:9" ht="15" customHeight="1" x14ac:dyDescent="0.2">
      <c r="A161" s="499" t="s">
        <v>256</v>
      </c>
      <c r="B161" s="500"/>
      <c r="C161" s="500"/>
      <c r="D161" s="500"/>
      <c r="E161" s="500"/>
      <c r="F161" s="500"/>
      <c r="G161" s="500"/>
      <c r="H161" s="500"/>
      <c r="I161" s="352"/>
    </row>
    <row r="162" spans="1:9" ht="13.5" customHeight="1" x14ac:dyDescent="0.2">
      <c r="A162" s="345"/>
      <c r="B162" s="351"/>
      <c r="C162" s="351"/>
      <c r="D162" s="351"/>
      <c r="E162" s="352"/>
      <c r="F162" s="351"/>
      <c r="G162" s="351"/>
      <c r="H162" s="351"/>
      <c r="I162" s="352"/>
    </row>
    <row r="163" spans="1:9" ht="13.5" customHeight="1" x14ac:dyDescent="0.2">
      <c r="A163" s="345"/>
      <c r="B163" s="351"/>
      <c r="C163" s="351"/>
      <c r="D163" s="351"/>
      <c r="E163" s="352"/>
      <c r="F163" s="351"/>
      <c r="G163" s="351"/>
      <c r="H163" s="351"/>
      <c r="I163" s="352"/>
    </row>
    <row r="164" spans="1:9" ht="15.75" customHeight="1" x14ac:dyDescent="0.2">
      <c r="A164" s="370"/>
      <c r="B164" s="371"/>
      <c r="C164" s="372"/>
      <c r="D164" s="372"/>
      <c r="E164" s="373"/>
      <c r="F164" s="373"/>
      <c r="G164" s="372"/>
      <c r="H164" s="372"/>
      <c r="I164" s="373"/>
    </row>
    <row r="165" spans="1:9" ht="13.5" customHeight="1" x14ac:dyDescent="0.2">
      <c r="A165" s="370"/>
      <c r="B165" s="371"/>
      <c r="C165" s="372"/>
      <c r="D165" s="372"/>
      <c r="E165" s="373"/>
      <c r="F165" s="373"/>
      <c r="G165" s="372"/>
      <c r="H165" s="501" t="s">
        <v>307</v>
      </c>
      <c r="I165" s="501"/>
    </row>
    <row r="166" spans="1:9" ht="12.75" customHeight="1" thickBot="1" x14ac:dyDescent="0.25">
      <c r="A166" s="370"/>
      <c r="B166" s="371"/>
      <c r="C166" s="372"/>
      <c r="D166" s="372"/>
      <c r="E166" s="373"/>
      <c r="F166" s="373"/>
      <c r="G166" s="372"/>
      <c r="H166" s="355"/>
      <c r="I166" s="374" t="s">
        <v>258</v>
      </c>
    </row>
    <row r="167" spans="1:9" ht="24" customHeight="1" thickBot="1" x14ac:dyDescent="0.25">
      <c r="A167" s="502" t="s">
        <v>302</v>
      </c>
      <c r="B167" s="507" t="s">
        <v>102</v>
      </c>
      <c r="C167" s="508"/>
      <c r="D167" s="508"/>
      <c r="E167" s="509"/>
      <c r="F167" s="507" t="s">
        <v>104</v>
      </c>
      <c r="G167" s="508"/>
      <c r="H167" s="508"/>
      <c r="I167" s="509"/>
    </row>
    <row r="168" spans="1:9" ht="39.75" customHeight="1" thickBot="1" x14ac:dyDescent="0.25">
      <c r="A168" s="503"/>
      <c r="B168" s="272" t="s">
        <v>228</v>
      </c>
      <c r="C168" s="272" t="s">
        <v>244</v>
      </c>
      <c r="D168" s="273" t="s">
        <v>245</v>
      </c>
      <c r="E168" s="375" t="s">
        <v>223</v>
      </c>
      <c r="F168" s="272" t="s">
        <v>228</v>
      </c>
      <c r="G168" s="272" t="s">
        <v>244</v>
      </c>
      <c r="H168" s="273" t="s">
        <v>245</v>
      </c>
      <c r="I168" s="375" t="s">
        <v>223</v>
      </c>
    </row>
    <row r="169" spans="1:9" ht="20.100000000000001" customHeight="1" thickBot="1" x14ac:dyDescent="0.25">
      <c r="A169" s="274" t="s">
        <v>262</v>
      </c>
      <c r="B169" s="275">
        <f>SUM(B170:B174)</f>
        <v>86798</v>
      </c>
      <c r="C169" s="276">
        <f>SUM(C170:C174)</f>
        <v>86798</v>
      </c>
      <c r="D169" s="276">
        <f>SUM(D170:D174)</f>
        <v>34742.83</v>
      </c>
      <c r="E169" s="277">
        <f t="shared" ref="E169:E192" si="27">D169/C169*100</f>
        <v>40.027224129588241</v>
      </c>
      <c r="F169" s="275">
        <f>SUM(F170:F174)</f>
        <v>111002</v>
      </c>
      <c r="G169" s="276">
        <f>SUM(G170:G174)</f>
        <v>111002</v>
      </c>
      <c r="H169" s="276">
        <f>SUM(H170:H174)</f>
        <v>47988.060000000005</v>
      </c>
      <c r="I169" s="277">
        <f t="shared" ref="I169:I190" si="28">H169/G169*100</f>
        <v>43.231707536801146</v>
      </c>
    </row>
    <row r="170" spans="1:9" ht="20.100000000000001" customHeight="1" x14ac:dyDescent="0.2">
      <c r="A170" s="283" t="s">
        <v>263</v>
      </c>
      <c r="B170" s="295">
        <v>22000</v>
      </c>
      <c r="C170" s="296">
        <v>22000</v>
      </c>
      <c r="D170" s="297">
        <v>9244</v>
      </c>
      <c r="E170" s="298">
        <f t="shared" si="27"/>
        <v>42.018181818181816</v>
      </c>
      <c r="F170" s="279">
        <v>50000</v>
      </c>
      <c r="G170" s="281">
        <v>50000</v>
      </c>
      <c r="H170" s="280">
        <f>17818+2192.45</f>
        <v>20010.45</v>
      </c>
      <c r="I170" s="282">
        <f t="shared" si="28"/>
        <v>40.020900000000005</v>
      </c>
    </row>
    <row r="171" spans="1:9" ht="20.100000000000001" customHeight="1" x14ac:dyDescent="0.2">
      <c r="A171" s="283" t="s">
        <v>264</v>
      </c>
      <c r="B171" s="284">
        <v>29300</v>
      </c>
      <c r="C171" s="286">
        <v>29300</v>
      </c>
      <c r="D171" s="285">
        <f>4647.6+2843.1</f>
        <v>7490.7000000000007</v>
      </c>
      <c r="E171" s="287">
        <f t="shared" si="27"/>
        <v>25.565529010238908</v>
      </c>
      <c r="F171" s="284">
        <v>36140</v>
      </c>
      <c r="G171" s="286">
        <v>36140</v>
      </c>
      <c r="H171" s="285">
        <v>7115.09</v>
      </c>
      <c r="I171" s="287">
        <f t="shared" si="28"/>
        <v>19.687576092971774</v>
      </c>
    </row>
    <row r="172" spans="1:9" ht="20.100000000000001" customHeight="1" x14ac:dyDescent="0.2">
      <c r="A172" s="288" t="s">
        <v>265</v>
      </c>
      <c r="B172" s="284">
        <v>18000</v>
      </c>
      <c r="C172" s="286">
        <v>18000</v>
      </c>
      <c r="D172" s="285">
        <v>7616.47</v>
      </c>
      <c r="E172" s="348">
        <f t="shared" si="27"/>
        <v>42.313722222222225</v>
      </c>
      <c r="F172" s="284">
        <v>7000</v>
      </c>
      <c r="G172" s="286">
        <v>7000</v>
      </c>
      <c r="H172" s="285">
        <v>4653.8900000000003</v>
      </c>
      <c r="I172" s="348">
        <f t="shared" si="28"/>
        <v>66.484142857142857</v>
      </c>
    </row>
    <row r="173" spans="1:9" ht="20.100000000000001" customHeight="1" x14ac:dyDescent="0.2">
      <c r="A173" s="283" t="s">
        <v>266</v>
      </c>
      <c r="B173" s="284">
        <v>17498</v>
      </c>
      <c r="C173" s="286">
        <v>17498</v>
      </c>
      <c r="D173" s="285">
        <f>7805.08+252</f>
        <v>8057.08</v>
      </c>
      <c r="E173" s="348">
        <f t="shared" si="27"/>
        <v>46.045719510801234</v>
      </c>
      <c r="F173" s="284">
        <v>13860</v>
      </c>
      <c r="G173" s="286">
        <v>13860</v>
      </c>
      <c r="H173" s="285">
        <v>5031.51</v>
      </c>
      <c r="I173" s="348">
        <f t="shared" si="28"/>
        <v>36.30238095238095</v>
      </c>
    </row>
    <row r="174" spans="1:9" ht="20.100000000000001" customHeight="1" thickBot="1" x14ac:dyDescent="0.25">
      <c r="A174" s="418" t="s">
        <v>267</v>
      </c>
      <c r="B174" s="289">
        <v>0</v>
      </c>
      <c r="C174" s="291">
        <v>0</v>
      </c>
      <c r="D174" s="290">
        <f>4.04+1160.54+1170</f>
        <v>2334.58</v>
      </c>
      <c r="E174" s="349"/>
      <c r="F174" s="289">
        <v>4002</v>
      </c>
      <c r="G174" s="291">
        <v>4002</v>
      </c>
      <c r="H174" s="290">
        <f>4000+2000+700+2633.88+0.05+8.57+309.87+1442.7+82.05</f>
        <v>11177.12</v>
      </c>
      <c r="I174" s="349">
        <f t="shared" si="28"/>
        <v>279.28835582208899</v>
      </c>
    </row>
    <row r="175" spans="1:9" ht="21" customHeight="1" thickBot="1" x14ac:dyDescent="0.25">
      <c r="A175" s="293" t="s">
        <v>268</v>
      </c>
      <c r="B175" s="275">
        <f>B179+B190+B191</f>
        <v>574366</v>
      </c>
      <c r="C175" s="276">
        <f>C179+C190+C191</f>
        <v>619672</v>
      </c>
      <c r="D175" s="276">
        <f>D179+D190+D191</f>
        <v>295614.32000000007</v>
      </c>
      <c r="E175" s="359">
        <f t="shared" si="27"/>
        <v>47.704966498405618</v>
      </c>
      <c r="F175" s="275">
        <f>F179+F190+F191</f>
        <v>1148605</v>
      </c>
      <c r="G175" s="276">
        <f>G179+G190+G191</f>
        <v>1230739</v>
      </c>
      <c r="H175" s="276">
        <f>H179+H190+H191</f>
        <v>512789.05000000005</v>
      </c>
      <c r="I175" s="359">
        <f t="shared" si="28"/>
        <v>41.665133712346815</v>
      </c>
    </row>
    <row r="176" spans="1:9" ht="20.100000000000001" customHeight="1" x14ac:dyDescent="0.2">
      <c r="A176" s="419" t="s">
        <v>269</v>
      </c>
      <c r="B176" s="279">
        <v>494381</v>
      </c>
      <c r="C176" s="281">
        <v>512716</v>
      </c>
      <c r="D176" s="280">
        <v>230494.12</v>
      </c>
      <c r="E176" s="282">
        <f t="shared" si="27"/>
        <v>44.955515334025073</v>
      </c>
      <c r="F176" s="279">
        <v>986010</v>
      </c>
      <c r="G176" s="281">
        <v>1054546</v>
      </c>
      <c r="H176" s="280">
        <v>423482.28</v>
      </c>
      <c r="I176" s="360">
        <f t="shared" si="28"/>
        <v>40.157781642526743</v>
      </c>
    </row>
    <row r="177" spans="1:9" ht="20.100000000000001" customHeight="1" x14ac:dyDescent="0.2">
      <c r="A177" s="299" t="s">
        <v>270</v>
      </c>
      <c r="B177" s="284">
        <v>79985</v>
      </c>
      <c r="C177" s="286">
        <v>83000</v>
      </c>
      <c r="D177" s="285">
        <v>36990.160000000003</v>
      </c>
      <c r="E177" s="287">
        <f t="shared" si="27"/>
        <v>44.566457831325309</v>
      </c>
      <c r="F177" s="284">
        <v>162595</v>
      </c>
      <c r="G177" s="286">
        <v>145000</v>
      </c>
      <c r="H177" s="285">
        <v>43268.82</v>
      </c>
      <c r="I177" s="348">
        <f t="shared" si="28"/>
        <v>29.84056551724138</v>
      </c>
    </row>
    <row r="178" spans="1:9" ht="20.100000000000001" customHeight="1" thickBot="1" x14ac:dyDescent="0.25">
      <c r="A178" s="299" t="s">
        <v>271</v>
      </c>
      <c r="B178" s="289"/>
      <c r="C178" s="291"/>
      <c r="D178" s="290">
        <v>15958.84</v>
      </c>
      <c r="E178" s="292"/>
      <c r="F178" s="289"/>
      <c r="G178" s="291"/>
      <c r="H178" s="290">
        <v>35253.14</v>
      </c>
      <c r="I178" s="292"/>
    </row>
    <row r="179" spans="1:9" ht="26.25" customHeight="1" thickBot="1" x14ac:dyDescent="0.25">
      <c r="A179" s="300" t="s">
        <v>272</v>
      </c>
      <c r="B179" s="301">
        <f>SUM(B176:B178)</f>
        <v>574366</v>
      </c>
      <c r="C179" s="302">
        <f>SUM(C176:C178)</f>
        <v>595716</v>
      </c>
      <c r="D179" s="303">
        <f>SUM(D176:D178)</f>
        <v>283443.12000000005</v>
      </c>
      <c r="E179" s="304">
        <f t="shared" si="27"/>
        <v>47.580242934552714</v>
      </c>
      <c r="F179" s="301">
        <f>SUM(F176:F178)</f>
        <v>1148605</v>
      </c>
      <c r="G179" s="302">
        <f>SUM(G176:G178)</f>
        <v>1199546</v>
      </c>
      <c r="H179" s="303">
        <f>SUM(H176:H178)</f>
        <v>502004.24000000005</v>
      </c>
      <c r="I179" s="304">
        <f t="shared" si="28"/>
        <v>41.8495197349664</v>
      </c>
    </row>
    <row r="180" spans="1:9" ht="20.100000000000001" customHeight="1" x14ac:dyDescent="0.2">
      <c r="A180" s="305" t="s">
        <v>273</v>
      </c>
      <c r="B180" s="279">
        <v>0</v>
      </c>
      <c r="C180" s="281">
        <v>7488</v>
      </c>
      <c r="D180" s="280">
        <v>3222.29</v>
      </c>
      <c r="E180" s="282">
        <f t="shared" si="27"/>
        <v>43.032719017094017</v>
      </c>
      <c r="F180" s="279">
        <v>0</v>
      </c>
      <c r="G180" s="281">
        <v>17472</v>
      </c>
      <c r="H180" s="280">
        <v>4936.59</v>
      </c>
      <c r="I180" s="282">
        <f t="shared" si="28"/>
        <v>28.254292582417584</v>
      </c>
    </row>
    <row r="181" spans="1:9" ht="20.100000000000001" customHeight="1" x14ac:dyDescent="0.2">
      <c r="A181" s="307" t="s">
        <v>274</v>
      </c>
      <c r="B181" s="284">
        <v>0</v>
      </c>
      <c r="C181" s="286">
        <v>0</v>
      </c>
      <c r="D181" s="285">
        <v>0</v>
      </c>
      <c r="E181" s="287"/>
      <c r="F181" s="284">
        <v>0</v>
      </c>
      <c r="G181" s="286">
        <v>0</v>
      </c>
      <c r="H181" s="285">
        <v>0</v>
      </c>
      <c r="I181" s="287"/>
    </row>
    <row r="182" spans="1:9" ht="17.25" customHeight="1" x14ac:dyDescent="0.2">
      <c r="A182" s="307" t="s">
        <v>275</v>
      </c>
      <c r="B182" s="284">
        <v>0</v>
      </c>
      <c r="C182" s="286">
        <v>14468</v>
      </c>
      <c r="D182" s="285">
        <v>8948.91</v>
      </c>
      <c r="E182" s="287">
        <f t="shared" si="27"/>
        <v>61.853124136024327</v>
      </c>
      <c r="F182" s="284">
        <v>0</v>
      </c>
      <c r="G182" s="286">
        <v>5121</v>
      </c>
      <c r="H182" s="285">
        <v>3388.22</v>
      </c>
      <c r="I182" s="287"/>
    </row>
    <row r="183" spans="1:9" ht="20.100000000000001" customHeight="1" x14ac:dyDescent="0.2">
      <c r="A183" s="307" t="s">
        <v>276</v>
      </c>
      <c r="B183" s="284">
        <v>0</v>
      </c>
      <c r="C183" s="286">
        <v>0</v>
      </c>
      <c r="D183" s="285">
        <v>0</v>
      </c>
      <c r="E183" s="287"/>
      <c r="F183" s="284">
        <v>0</v>
      </c>
      <c r="G183" s="286">
        <v>0</v>
      </c>
      <c r="H183" s="285">
        <v>0</v>
      </c>
      <c r="I183" s="287"/>
    </row>
    <row r="184" spans="1:9" ht="18.75" customHeight="1" x14ac:dyDescent="0.2">
      <c r="A184" s="309" t="s">
        <v>277</v>
      </c>
      <c r="B184" s="284">
        <v>0</v>
      </c>
      <c r="C184" s="286">
        <v>0</v>
      </c>
      <c r="D184" s="285">
        <v>0</v>
      </c>
      <c r="E184" s="287"/>
      <c r="F184" s="284">
        <v>0</v>
      </c>
      <c r="G184" s="286">
        <v>0</v>
      </c>
      <c r="H184" s="285">
        <v>0</v>
      </c>
      <c r="I184" s="287"/>
    </row>
    <row r="185" spans="1:9" ht="20.100000000000001" customHeight="1" x14ac:dyDescent="0.2">
      <c r="A185" s="309" t="s">
        <v>278</v>
      </c>
      <c r="B185" s="284">
        <v>0</v>
      </c>
      <c r="C185" s="286">
        <v>0</v>
      </c>
      <c r="D185" s="285">
        <v>0</v>
      </c>
      <c r="E185" s="287"/>
      <c r="F185" s="284">
        <v>0</v>
      </c>
      <c r="G185" s="286">
        <v>0</v>
      </c>
      <c r="H185" s="285">
        <v>0</v>
      </c>
      <c r="I185" s="287"/>
    </row>
    <row r="186" spans="1:9" ht="20.100000000000001" customHeight="1" x14ac:dyDescent="0.2">
      <c r="A186" s="309" t="s">
        <v>279</v>
      </c>
      <c r="B186" s="284">
        <v>0</v>
      </c>
      <c r="C186" s="286">
        <v>0</v>
      </c>
      <c r="D186" s="285">
        <v>0</v>
      </c>
      <c r="E186" s="287"/>
      <c r="F186" s="284">
        <v>0</v>
      </c>
      <c r="G186" s="286">
        <v>0</v>
      </c>
      <c r="H186" s="285">
        <v>0</v>
      </c>
      <c r="I186" s="287"/>
    </row>
    <row r="187" spans="1:9" ht="20.100000000000001" customHeight="1" x14ac:dyDescent="0.2">
      <c r="A187" s="309" t="s">
        <v>280</v>
      </c>
      <c r="B187" s="284">
        <v>0</v>
      </c>
      <c r="C187" s="286">
        <v>2000</v>
      </c>
      <c r="D187" s="285">
        <v>0</v>
      </c>
      <c r="E187" s="287">
        <f t="shared" si="27"/>
        <v>0</v>
      </c>
      <c r="F187" s="284">
        <v>0</v>
      </c>
      <c r="G187" s="286">
        <v>8600</v>
      </c>
      <c r="H187" s="285">
        <v>0</v>
      </c>
      <c r="I187" s="287">
        <f t="shared" si="28"/>
        <v>0</v>
      </c>
    </row>
    <row r="188" spans="1:9" ht="16.5" customHeight="1" x14ac:dyDescent="0.2">
      <c r="A188" s="309" t="s">
        <v>281</v>
      </c>
      <c r="B188" s="284">
        <v>0</v>
      </c>
      <c r="C188" s="286">
        <v>0</v>
      </c>
      <c r="D188" s="285">
        <v>0</v>
      </c>
      <c r="E188" s="287"/>
      <c r="F188" s="284">
        <v>0</v>
      </c>
      <c r="G188" s="286">
        <v>0</v>
      </c>
      <c r="H188" s="285">
        <v>0</v>
      </c>
      <c r="I188" s="287"/>
    </row>
    <row r="189" spans="1:9" ht="17.25" customHeight="1" thickBot="1" x14ac:dyDescent="0.25">
      <c r="A189" s="299" t="s">
        <v>282</v>
      </c>
      <c r="B189" s="289">
        <v>0</v>
      </c>
      <c r="C189" s="291">
        <v>0</v>
      </c>
      <c r="D189" s="290">
        <v>0</v>
      </c>
      <c r="E189" s="292"/>
      <c r="F189" s="289">
        <v>0</v>
      </c>
      <c r="G189" s="291">
        <v>0</v>
      </c>
      <c r="H189" s="290">
        <v>0</v>
      </c>
      <c r="I189" s="292"/>
    </row>
    <row r="190" spans="1:9" ht="17.25" customHeight="1" thickBot="1" x14ac:dyDescent="0.25">
      <c r="A190" s="313" t="s">
        <v>283</v>
      </c>
      <c r="B190" s="314">
        <f>SUM(B180:B189)</f>
        <v>0</v>
      </c>
      <c r="C190" s="319">
        <f>SUM(C180:C189)</f>
        <v>23956</v>
      </c>
      <c r="D190" s="318">
        <f>SUM(D180:D189)</f>
        <v>12171.2</v>
      </c>
      <c r="E190" s="328">
        <f t="shared" si="27"/>
        <v>50.806478543997336</v>
      </c>
      <c r="F190" s="314">
        <f>SUM(F180:F189)</f>
        <v>0</v>
      </c>
      <c r="G190" s="319">
        <f>SUM(G180:G189)</f>
        <v>31193</v>
      </c>
      <c r="H190" s="318">
        <f>SUM(H180:H189)</f>
        <v>8324.81</v>
      </c>
      <c r="I190" s="328">
        <f t="shared" si="28"/>
        <v>26.688071041579843</v>
      </c>
    </row>
    <row r="191" spans="1:9" ht="15" customHeight="1" thickBot="1" x14ac:dyDescent="0.25">
      <c r="A191" s="313" t="s">
        <v>284</v>
      </c>
      <c r="B191" s="314">
        <v>0</v>
      </c>
      <c r="C191" s="319">
        <v>0</v>
      </c>
      <c r="D191" s="318"/>
      <c r="E191" s="328"/>
      <c r="F191" s="314">
        <v>0</v>
      </c>
      <c r="G191" s="319"/>
      <c r="H191" s="318">
        <f>2460</f>
        <v>2460</v>
      </c>
      <c r="I191" s="317"/>
    </row>
    <row r="192" spans="1:9" ht="24.75" customHeight="1" thickBot="1" x14ac:dyDescent="0.25">
      <c r="A192" s="293" t="s">
        <v>285</v>
      </c>
      <c r="B192" s="275">
        <f>SUM(B193:B197)</f>
        <v>247963</v>
      </c>
      <c r="C192" s="276">
        <f>SUM(C193:C197)</f>
        <v>252177</v>
      </c>
      <c r="D192" s="276">
        <f>SUM(D193:D197)</f>
        <v>93866.78</v>
      </c>
      <c r="E192" s="350">
        <f t="shared" si="27"/>
        <v>37.222577792582193</v>
      </c>
      <c r="F192" s="275">
        <f>SUM(F193:F197)</f>
        <v>359953</v>
      </c>
      <c r="G192" s="276">
        <f>SUM(G193:G197)</f>
        <v>381367</v>
      </c>
      <c r="H192" s="276">
        <f>SUM(H193:H197)</f>
        <v>158740.78999999998</v>
      </c>
      <c r="I192" s="277">
        <f t="shared" ref="I192:I207" si="29">H192/G192*100</f>
        <v>41.624154685644008</v>
      </c>
    </row>
    <row r="193" spans="1:9" ht="16.899999999999999" customHeight="1" x14ac:dyDescent="0.2">
      <c r="A193" s="320" t="s">
        <v>286</v>
      </c>
      <c r="B193" s="279">
        <v>0</v>
      </c>
      <c r="C193" s="281">
        <v>0</v>
      </c>
      <c r="D193" s="280">
        <v>0</v>
      </c>
      <c r="E193" s="282"/>
      <c r="F193" s="279">
        <v>0</v>
      </c>
      <c r="G193" s="281">
        <v>0</v>
      </c>
      <c r="H193" s="280">
        <f>1215+1.61</f>
        <v>1216.6099999999999</v>
      </c>
      <c r="I193" s="334"/>
    </row>
    <row r="194" spans="1:9" ht="16.899999999999999" customHeight="1" x14ac:dyDescent="0.2">
      <c r="A194" s="321" t="s">
        <v>287</v>
      </c>
      <c r="B194" s="284">
        <v>117498</v>
      </c>
      <c r="C194" s="286">
        <v>117498</v>
      </c>
      <c r="D194" s="285">
        <v>46772.97</v>
      </c>
      <c r="E194" s="287">
        <f t="shared" ref="E194:E204" si="30">D194/C194*100</f>
        <v>39.807460552520048</v>
      </c>
      <c r="F194" s="284">
        <v>98276</v>
      </c>
      <c r="G194" s="286">
        <v>98276</v>
      </c>
      <c r="H194" s="285">
        <v>33202.410000000003</v>
      </c>
      <c r="I194" s="287">
        <f t="shared" si="29"/>
        <v>33.78486100370386</v>
      </c>
    </row>
    <row r="195" spans="1:9" ht="16.899999999999999" customHeight="1" x14ac:dyDescent="0.2">
      <c r="A195" s="322" t="s">
        <v>288</v>
      </c>
      <c r="B195" s="284">
        <v>15400</v>
      </c>
      <c r="C195" s="286">
        <v>15400</v>
      </c>
      <c r="D195" s="285">
        <v>3689.77</v>
      </c>
      <c r="E195" s="287">
        <f t="shared" si="30"/>
        <v>23.959545454545456</v>
      </c>
      <c r="F195" s="284">
        <v>22400</v>
      </c>
      <c r="G195" s="286">
        <v>22400</v>
      </c>
      <c r="H195" s="285">
        <v>9866.09</v>
      </c>
      <c r="I195" s="287">
        <f t="shared" si="29"/>
        <v>44.045044642857142</v>
      </c>
    </row>
    <row r="196" spans="1:9" ht="16.899999999999999" customHeight="1" x14ac:dyDescent="0.2">
      <c r="A196" s="322" t="s">
        <v>289</v>
      </c>
      <c r="B196" s="284">
        <v>111065</v>
      </c>
      <c r="C196" s="286">
        <v>115279</v>
      </c>
      <c r="D196" s="285">
        <v>43131.43</v>
      </c>
      <c r="E196" s="287">
        <f t="shared" si="30"/>
        <v>37.414819698297173</v>
      </c>
      <c r="F196" s="284">
        <v>224877</v>
      </c>
      <c r="G196" s="286">
        <v>246291</v>
      </c>
      <c r="H196" s="285">
        <v>110276.93</v>
      </c>
      <c r="I196" s="287">
        <f t="shared" si="29"/>
        <v>44.775054711702822</v>
      </c>
    </row>
    <row r="197" spans="1:9" ht="16.899999999999999" customHeight="1" thickBot="1" x14ac:dyDescent="0.25">
      <c r="A197" s="323" t="s">
        <v>290</v>
      </c>
      <c r="B197" s="289">
        <v>4000</v>
      </c>
      <c r="C197" s="291">
        <v>4000</v>
      </c>
      <c r="D197" s="290">
        <v>272.61</v>
      </c>
      <c r="E197" s="292">
        <f t="shared" si="30"/>
        <v>6.8152500000000007</v>
      </c>
      <c r="F197" s="289">
        <v>14400</v>
      </c>
      <c r="G197" s="291">
        <v>14400</v>
      </c>
      <c r="H197" s="290">
        <v>4178.75</v>
      </c>
      <c r="I197" s="292">
        <f t="shared" si="29"/>
        <v>29.019097222222221</v>
      </c>
    </row>
    <row r="198" spans="1:9" ht="16.899999999999999" customHeight="1" thickBot="1" x14ac:dyDescent="0.25">
      <c r="A198" s="420" t="s">
        <v>291</v>
      </c>
      <c r="B198" s="325">
        <v>17498</v>
      </c>
      <c r="C198" s="327">
        <v>17498</v>
      </c>
      <c r="D198" s="326">
        <v>10160.35</v>
      </c>
      <c r="E198" s="328">
        <f t="shared" si="30"/>
        <v>58.065778946165281</v>
      </c>
      <c r="F198" s="325">
        <v>13860</v>
      </c>
      <c r="G198" s="327">
        <v>13860</v>
      </c>
      <c r="H198" s="326">
        <v>3500.61</v>
      </c>
      <c r="I198" s="328">
        <f t="shared" si="29"/>
        <v>25.256926406926404</v>
      </c>
    </row>
    <row r="199" spans="1:9" ht="16.899999999999999" customHeight="1" thickBot="1" x14ac:dyDescent="0.25">
      <c r="A199" s="421" t="s">
        <v>292</v>
      </c>
      <c r="B199" s="325">
        <v>53000</v>
      </c>
      <c r="C199" s="327">
        <v>53000</v>
      </c>
      <c r="D199" s="326">
        <v>8157.6</v>
      </c>
      <c r="E199" s="328">
        <f t="shared" si="30"/>
        <v>15.391698113207546</v>
      </c>
      <c r="F199" s="325">
        <v>98360</v>
      </c>
      <c r="G199" s="327">
        <v>98360</v>
      </c>
      <c r="H199" s="326">
        <f>22292.4</f>
        <v>22292.400000000001</v>
      </c>
      <c r="I199" s="328">
        <f t="shared" si="29"/>
        <v>22.664091093940627</v>
      </c>
    </row>
    <row r="200" spans="1:9" ht="16.899999999999999" customHeight="1" thickBot="1" x14ac:dyDescent="0.25">
      <c r="A200" s="421" t="s">
        <v>293</v>
      </c>
      <c r="B200" s="325">
        <v>0</v>
      </c>
      <c r="C200" s="327">
        <v>0</v>
      </c>
      <c r="D200" s="326">
        <v>84</v>
      </c>
      <c r="E200" s="328"/>
      <c r="F200" s="325">
        <v>0</v>
      </c>
      <c r="G200" s="327">
        <v>0</v>
      </c>
      <c r="H200" s="326">
        <v>41.6</v>
      </c>
      <c r="I200" s="328"/>
    </row>
    <row r="201" spans="1:9" ht="16.899999999999999" customHeight="1" thickBot="1" x14ac:dyDescent="0.25">
      <c r="A201" s="330" t="s">
        <v>294</v>
      </c>
      <c r="B201" s="275">
        <f t="shared" ref="B201" si="31">SUM(B202:B203)</f>
        <v>0</v>
      </c>
      <c r="C201" s="276">
        <f t="shared" ref="C201:D201" si="32">SUM(C202:C203)</f>
        <v>0</v>
      </c>
      <c r="D201" s="276">
        <f t="shared" si="32"/>
        <v>0</v>
      </c>
      <c r="E201" s="378"/>
      <c r="F201" s="275">
        <f t="shared" ref="F201:H201" si="33">SUM(F202:F203)</f>
        <v>0</v>
      </c>
      <c r="G201" s="276">
        <f t="shared" si="33"/>
        <v>0</v>
      </c>
      <c r="H201" s="276">
        <f t="shared" si="33"/>
        <v>2000</v>
      </c>
      <c r="I201" s="277"/>
    </row>
    <row r="202" spans="1:9" ht="16.899999999999999" customHeight="1" thickBot="1" x14ac:dyDescent="0.25">
      <c r="A202" s="331" t="s">
        <v>295</v>
      </c>
      <c r="B202" s="279">
        <v>0</v>
      </c>
      <c r="C202" s="281">
        <v>0</v>
      </c>
      <c r="D202" s="280">
        <v>0</v>
      </c>
      <c r="E202" s="282"/>
      <c r="F202" s="279">
        <v>0</v>
      </c>
      <c r="G202" s="281">
        <v>0</v>
      </c>
      <c r="H202" s="280">
        <v>2000</v>
      </c>
      <c r="I202" s="376"/>
    </row>
    <row r="203" spans="1:9" ht="16.899999999999999" customHeight="1" thickBot="1" x14ac:dyDescent="0.25">
      <c r="A203" s="335" t="s">
        <v>296</v>
      </c>
      <c r="B203" s="289">
        <v>0</v>
      </c>
      <c r="C203" s="291">
        <v>0</v>
      </c>
      <c r="D203" s="290">
        <v>0</v>
      </c>
      <c r="E203" s="292"/>
      <c r="F203" s="289">
        <v>0</v>
      </c>
      <c r="G203" s="291">
        <v>0</v>
      </c>
      <c r="H203" s="290">
        <v>0</v>
      </c>
      <c r="I203" s="364"/>
    </row>
    <row r="204" spans="1:9" ht="19.899999999999999" customHeight="1" thickBot="1" x14ac:dyDescent="0.25">
      <c r="A204" s="274" t="s">
        <v>297</v>
      </c>
      <c r="B204" s="339">
        <f t="shared" ref="B204:C204" si="34">B175+B192+B201+B198+B199</f>
        <v>892827</v>
      </c>
      <c r="C204" s="344">
        <f t="shared" si="34"/>
        <v>942347</v>
      </c>
      <c r="D204" s="344">
        <f>D175+D192+D201+D198+D199+D200</f>
        <v>407883.05000000005</v>
      </c>
      <c r="E204" s="350">
        <f t="shared" si="30"/>
        <v>43.283742612859179</v>
      </c>
      <c r="F204" s="339">
        <f t="shared" ref="F204:G204" si="35">F175+F192+F201+F198+F199</f>
        <v>1620778</v>
      </c>
      <c r="G204" s="339">
        <f t="shared" si="35"/>
        <v>1724326</v>
      </c>
      <c r="H204" s="339">
        <f>H175+H192+H201+H198+H199+H200</f>
        <v>699364.45000000007</v>
      </c>
      <c r="I204" s="277">
        <f t="shared" si="29"/>
        <v>40.558713955481743</v>
      </c>
    </row>
    <row r="205" spans="1:9" ht="15.75" customHeight="1" x14ac:dyDescent="0.2">
      <c r="A205" s="340" t="s">
        <v>298</v>
      </c>
      <c r="B205" s="279">
        <v>0</v>
      </c>
      <c r="C205" s="341">
        <v>0</v>
      </c>
      <c r="D205" s="342">
        <v>0</v>
      </c>
      <c r="E205" s="282"/>
      <c r="F205" s="279">
        <v>0</v>
      </c>
      <c r="G205" s="341">
        <v>0</v>
      </c>
      <c r="H205" s="342">
        <v>0</v>
      </c>
      <c r="I205" s="376"/>
    </row>
    <row r="206" spans="1:9" ht="17.25" customHeight="1" thickBot="1" x14ac:dyDescent="0.25">
      <c r="A206" s="343" t="s">
        <v>299</v>
      </c>
      <c r="B206" s="289">
        <v>0</v>
      </c>
      <c r="C206" s="336">
        <v>0</v>
      </c>
      <c r="D206" s="337">
        <v>0</v>
      </c>
      <c r="E206" s="292"/>
      <c r="F206" s="289">
        <v>0</v>
      </c>
      <c r="G206" s="336">
        <v>0</v>
      </c>
      <c r="H206" s="337">
        <v>0</v>
      </c>
      <c r="I206" s="364"/>
    </row>
    <row r="207" spans="1:9" ht="19.899999999999999" customHeight="1" thickBot="1" x14ac:dyDescent="0.25">
      <c r="A207" s="274" t="s">
        <v>300</v>
      </c>
      <c r="B207" s="339">
        <f>SUM(B204:B205)</f>
        <v>892827</v>
      </c>
      <c r="C207" s="344">
        <f t="shared" ref="C207:D207" si="36">SUM(C204:C205)</f>
        <v>942347</v>
      </c>
      <c r="D207" s="344">
        <f t="shared" si="36"/>
        <v>407883.05000000005</v>
      </c>
      <c r="E207" s="277">
        <f>D207/C207*100</f>
        <v>43.283742612859179</v>
      </c>
      <c r="F207" s="339">
        <f>SUM(F204:F206)</f>
        <v>1620778</v>
      </c>
      <c r="G207" s="344">
        <f t="shared" ref="G207:H207" si="37">SUM(G204:G206)</f>
        <v>1724326</v>
      </c>
      <c r="H207" s="344">
        <f t="shared" si="37"/>
        <v>699364.45000000007</v>
      </c>
      <c r="I207" s="277">
        <f t="shared" si="29"/>
        <v>40.558713955481743</v>
      </c>
    </row>
    <row r="208" spans="1:9" ht="17.25" customHeight="1" x14ac:dyDescent="0.2">
      <c r="A208" s="345"/>
      <c r="B208" s="346"/>
      <c r="C208" s="346"/>
      <c r="D208" s="346"/>
      <c r="E208" s="347"/>
      <c r="F208" s="346"/>
      <c r="G208" s="346"/>
      <c r="H208" s="346"/>
      <c r="I208" s="347"/>
    </row>
    <row r="209" spans="1:9" ht="17.25" customHeight="1" x14ac:dyDescent="0.2">
      <c r="A209" s="345"/>
      <c r="B209" s="346"/>
      <c r="C209" s="346"/>
      <c r="D209" s="346"/>
      <c r="E209" s="347"/>
      <c r="F209" s="346"/>
      <c r="G209" s="346"/>
      <c r="H209" s="346"/>
      <c r="I209" s="347"/>
    </row>
    <row r="210" spans="1:9" ht="17.25" customHeight="1" x14ac:dyDescent="0.2">
      <c r="A210" s="345"/>
      <c r="B210" s="346"/>
      <c r="C210" s="346"/>
      <c r="D210" s="346"/>
      <c r="E210" s="347"/>
      <c r="F210" s="346"/>
      <c r="G210" s="346"/>
      <c r="H210" s="346"/>
      <c r="I210" s="347"/>
    </row>
    <row r="211" spans="1:9" ht="17.25" customHeight="1" x14ac:dyDescent="0.2">
      <c r="A211" s="499" t="s">
        <v>255</v>
      </c>
      <c r="B211" s="500"/>
      <c r="C211" s="500"/>
      <c r="D211" s="500"/>
      <c r="E211" s="500"/>
      <c r="F211" s="500"/>
      <c r="G211" s="500"/>
      <c r="H211" s="500"/>
      <c r="I211" s="347"/>
    </row>
    <row r="212" spans="1:9" ht="16.149999999999999" customHeight="1" x14ac:dyDescent="0.2">
      <c r="A212" s="499" t="s">
        <v>256</v>
      </c>
      <c r="B212" s="500"/>
      <c r="C212" s="500"/>
      <c r="D212" s="500"/>
      <c r="E212" s="500"/>
      <c r="F212" s="500"/>
      <c r="G212" s="500"/>
      <c r="H212" s="500"/>
      <c r="I212" s="347"/>
    </row>
    <row r="213" spans="1:9" ht="14.25" customHeight="1" x14ac:dyDescent="0.2">
      <c r="A213" s="345"/>
      <c r="B213" s="346"/>
      <c r="C213" s="346"/>
      <c r="D213" s="346"/>
      <c r="E213" s="347"/>
      <c r="F213" s="346"/>
      <c r="G213" s="346"/>
      <c r="H213" s="346"/>
      <c r="I213" s="347"/>
    </row>
    <row r="214" spans="1:9" ht="15.75" customHeight="1" x14ac:dyDescent="0.2">
      <c r="A214" s="345"/>
      <c r="B214" s="346"/>
      <c r="C214" s="346"/>
      <c r="D214" s="346"/>
      <c r="E214" s="347"/>
      <c r="F214" s="346"/>
      <c r="G214" s="346"/>
      <c r="H214" s="346"/>
      <c r="I214" s="347"/>
    </row>
    <row r="215" spans="1:9" ht="15" customHeight="1" x14ac:dyDescent="0.2">
      <c r="A215" s="370"/>
      <c r="B215" s="371"/>
      <c r="C215" s="372"/>
      <c r="D215" s="372"/>
      <c r="E215" s="373"/>
      <c r="F215" s="373"/>
      <c r="G215" s="372"/>
      <c r="H215" s="372"/>
      <c r="I215" s="373"/>
    </row>
    <row r="216" spans="1:9" ht="15" customHeight="1" x14ac:dyDescent="0.2">
      <c r="A216" s="353"/>
      <c r="B216" s="355"/>
      <c r="C216" s="355"/>
      <c r="D216" s="355"/>
      <c r="E216" s="355"/>
      <c r="F216" s="355"/>
      <c r="G216" s="355"/>
      <c r="H216" s="501" t="s">
        <v>308</v>
      </c>
      <c r="I216" s="501"/>
    </row>
    <row r="217" spans="1:9" ht="13.5" customHeight="1" thickBot="1" x14ac:dyDescent="0.25">
      <c r="A217" s="377"/>
      <c r="B217" s="355"/>
      <c r="C217" s="355"/>
      <c r="D217" s="355"/>
      <c r="E217" s="355"/>
      <c r="F217" s="355"/>
      <c r="G217" s="355"/>
      <c r="H217" s="355"/>
      <c r="I217" s="374" t="s">
        <v>258</v>
      </c>
    </row>
    <row r="218" spans="1:9" ht="21.95" customHeight="1" thickBot="1" x14ac:dyDescent="0.25">
      <c r="A218" s="502" t="s">
        <v>302</v>
      </c>
      <c r="B218" s="504" t="s">
        <v>309</v>
      </c>
      <c r="C218" s="505"/>
      <c r="D218" s="505"/>
      <c r="E218" s="506"/>
      <c r="F218" s="504" t="s">
        <v>310</v>
      </c>
      <c r="G218" s="505"/>
      <c r="H218" s="505"/>
      <c r="I218" s="506"/>
    </row>
    <row r="219" spans="1:9" ht="39" thickBot="1" x14ac:dyDescent="0.25">
      <c r="A219" s="503"/>
      <c r="B219" s="272" t="s">
        <v>228</v>
      </c>
      <c r="C219" s="272" t="s">
        <v>244</v>
      </c>
      <c r="D219" s="273" t="s">
        <v>245</v>
      </c>
      <c r="E219" s="375" t="s">
        <v>223</v>
      </c>
      <c r="F219" s="272" t="s">
        <v>228</v>
      </c>
      <c r="G219" s="272" t="s">
        <v>244</v>
      </c>
      <c r="H219" s="273" t="s">
        <v>245</v>
      </c>
      <c r="I219" s="375" t="s">
        <v>223</v>
      </c>
    </row>
    <row r="220" spans="1:9" ht="24.95" customHeight="1" thickBot="1" x14ac:dyDescent="0.25">
      <c r="A220" s="274" t="s">
        <v>262</v>
      </c>
      <c r="B220" s="275">
        <f>SUM(B221:B225)</f>
        <v>74364</v>
      </c>
      <c r="C220" s="276">
        <f>SUM(C221:C225)</f>
        <v>74364</v>
      </c>
      <c r="D220" s="276">
        <f>SUM(D221:D225)</f>
        <v>20866.37</v>
      </c>
      <c r="E220" s="277">
        <f t="shared" ref="E220:E238" si="38">D220/C220*100</f>
        <v>28.059773546339628</v>
      </c>
      <c r="F220" s="275">
        <f>SUM(F221:F225)</f>
        <v>109627</v>
      </c>
      <c r="G220" s="276">
        <f>SUM(G221:G225)</f>
        <v>109627</v>
      </c>
      <c r="H220" s="276">
        <f>SUM(H221:H225)</f>
        <v>48480.989999999991</v>
      </c>
      <c r="I220" s="277">
        <f>H220/G220*100</f>
        <v>44.223585430596465</v>
      </c>
    </row>
    <row r="221" spans="1:9" ht="19.899999999999999" customHeight="1" x14ac:dyDescent="0.2">
      <c r="A221" s="283" t="s">
        <v>263</v>
      </c>
      <c r="B221" s="279">
        <v>26070</v>
      </c>
      <c r="C221" s="281">
        <v>26070</v>
      </c>
      <c r="D221" s="280">
        <v>6685.8</v>
      </c>
      <c r="E221" s="282">
        <f t="shared" si="38"/>
        <v>25.645569620253166</v>
      </c>
      <c r="F221" s="279">
        <v>48000</v>
      </c>
      <c r="G221" s="281">
        <v>48000</v>
      </c>
      <c r="H221" s="280">
        <v>14204</v>
      </c>
      <c r="I221" s="282">
        <f>H221/G221*100</f>
        <v>29.591666666666665</v>
      </c>
    </row>
    <row r="222" spans="1:9" ht="19.899999999999999" customHeight="1" x14ac:dyDescent="0.2">
      <c r="A222" s="283" t="s">
        <v>264</v>
      </c>
      <c r="B222" s="284">
        <v>18412</v>
      </c>
      <c r="C222" s="286">
        <v>18412</v>
      </c>
      <c r="D222" s="285">
        <v>3278.46</v>
      </c>
      <c r="E222" s="287">
        <f t="shared" si="38"/>
        <v>17.806104714316749</v>
      </c>
      <c r="F222" s="284">
        <v>38737</v>
      </c>
      <c r="G222" s="286">
        <v>38737</v>
      </c>
      <c r="H222" s="285">
        <f>9321.85+2748.9</f>
        <v>12070.75</v>
      </c>
      <c r="I222" s="287">
        <f>H222/G222*100</f>
        <v>31.160776518573975</v>
      </c>
    </row>
    <row r="223" spans="1:9" ht="19.899999999999999" customHeight="1" x14ac:dyDescent="0.2">
      <c r="A223" s="288" t="s">
        <v>265</v>
      </c>
      <c r="B223" s="284">
        <v>12949</v>
      </c>
      <c r="C223" s="286">
        <v>12949</v>
      </c>
      <c r="D223" s="285">
        <v>2894.57</v>
      </c>
      <c r="E223" s="348">
        <f t="shared" si="38"/>
        <v>22.353618040003091</v>
      </c>
      <c r="F223" s="284">
        <v>5696</v>
      </c>
      <c r="G223" s="286">
        <v>5696</v>
      </c>
      <c r="H223" s="285">
        <v>3064.42</v>
      </c>
      <c r="I223" s="348">
        <f>H223/G223*100</f>
        <v>53.799508426966291</v>
      </c>
    </row>
    <row r="224" spans="1:9" ht="19.899999999999999" customHeight="1" x14ac:dyDescent="0.2">
      <c r="A224" s="283" t="s">
        <v>266</v>
      </c>
      <c r="B224" s="284">
        <v>16893</v>
      </c>
      <c r="C224" s="286">
        <v>16893</v>
      </c>
      <c r="D224" s="285">
        <v>5304.52</v>
      </c>
      <c r="E224" s="348">
        <f t="shared" si="38"/>
        <v>31.400698514177471</v>
      </c>
      <c r="F224" s="284">
        <v>17194</v>
      </c>
      <c r="G224" s="286">
        <v>17194</v>
      </c>
      <c r="H224" s="285">
        <f>13245.48+1308</f>
        <v>14553.48</v>
      </c>
      <c r="I224" s="348">
        <f t="shared" ref="I224:I258" si="39">H224/G224*100</f>
        <v>84.642782365941599</v>
      </c>
    </row>
    <row r="225" spans="1:9" ht="19.899999999999999" customHeight="1" thickBot="1" x14ac:dyDescent="0.25">
      <c r="A225" s="418" t="s">
        <v>267</v>
      </c>
      <c r="B225" s="289">
        <v>40</v>
      </c>
      <c r="C225" s="291">
        <v>40</v>
      </c>
      <c r="D225" s="290">
        <f>4.44+1288.34+400+500+510.24</f>
        <v>2703.0199999999995</v>
      </c>
      <c r="E225" s="349"/>
      <c r="F225" s="289">
        <v>0</v>
      </c>
      <c r="G225" s="291">
        <v>0</v>
      </c>
      <c r="H225" s="290">
        <f>2831.14+7.2+250+300+850+350</f>
        <v>4588.34</v>
      </c>
      <c r="I225" s="349"/>
    </row>
    <row r="226" spans="1:9" ht="24" customHeight="1" thickBot="1" x14ac:dyDescent="0.25">
      <c r="A226" s="293" t="s">
        <v>268</v>
      </c>
      <c r="B226" s="275">
        <f>B230+B241+B242</f>
        <v>670291</v>
      </c>
      <c r="C226" s="276">
        <f>C230+C241+C242</f>
        <v>751500</v>
      </c>
      <c r="D226" s="276">
        <f>D230+D241+D242</f>
        <v>347343.14</v>
      </c>
      <c r="E226" s="359">
        <f t="shared" si="38"/>
        <v>46.219978709248174</v>
      </c>
      <c r="F226" s="275">
        <f>F230+F241+F242</f>
        <v>1097745</v>
      </c>
      <c r="G226" s="276">
        <f>G230+G241+G242</f>
        <v>1185196</v>
      </c>
      <c r="H226" s="276">
        <f>H230+H241+H242</f>
        <v>507452.80000000005</v>
      </c>
      <c r="I226" s="359">
        <f t="shared" si="39"/>
        <v>42.815939304553851</v>
      </c>
    </row>
    <row r="227" spans="1:9" ht="21.75" customHeight="1" x14ac:dyDescent="0.2">
      <c r="A227" s="419" t="s">
        <v>269</v>
      </c>
      <c r="B227" s="279">
        <v>595547</v>
      </c>
      <c r="C227" s="281">
        <v>632316</v>
      </c>
      <c r="D227" s="280">
        <v>259869.33</v>
      </c>
      <c r="E227" s="360">
        <f t="shared" si="38"/>
        <v>41.098015865484975</v>
      </c>
      <c r="F227" s="279">
        <v>967547</v>
      </c>
      <c r="G227" s="281">
        <v>1027902</v>
      </c>
      <c r="H227" s="280">
        <v>423866.96</v>
      </c>
      <c r="I227" s="360">
        <f t="shared" si="39"/>
        <v>41.236125622870667</v>
      </c>
    </row>
    <row r="228" spans="1:9" ht="18.75" customHeight="1" x14ac:dyDescent="0.2">
      <c r="A228" s="299" t="s">
        <v>270</v>
      </c>
      <c r="B228" s="284">
        <v>74744</v>
      </c>
      <c r="C228" s="286">
        <v>80000</v>
      </c>
      <c r="D228" s="285">
        <v>54391.68</v>
      </c>
      <c r="E228" s="287">
        <f t="shared" si="38"/>
        <v>67.98960000000001</v>
      </c>
      <c r="F228" s="284">
        <v>130198</v>
      </c>
      <c r="G228" s="286">
        <v>125000</v>
      </c>
      <c r="H228" s="285">
        <v>57836.07</v>
      </c>
      <c r="I228" s="287">
        <f t="shared" si="39"/>
        <v>46.268856</v>
      </c>
    </row>
    <row r="229" spans="1:9" ht="16.5" customHeight="1" thickBot="1" x14ac:dyDescent="0.25">
      <c r="A229" s="299" t="s">
        <v>271</v>
      </c>
      <c r="B229" s="289"/>
      <c r="C229" s="291"/>
      <c r="D229" s="290">
        <v>8018.64</v>
      </c>
      <c r="E229" s="292"/>
      <c r="F229" s="289"/>
      <c r="G229" s="291"/>
      <c r="H229" s="290">
        <v>14217.15</v>
      </c>
      <c r="I229" s="292"/>
    </row>
    <row r="230" spans="1:9" ht="24" customHeight="1" thickBot="1" x14ac:dyDescent="0.25">
      <c r="A230" s="300" t="s">
        <v>272</v>
      </c>
      <c r="B230" s="301">
        <f>SUM(B227:B229)</f>
        <v>670291</v>
      </c>
      <c r="C230" s="302">
        <f>SUM(C227:C229)</f>
        <v>712316</v>
      </c>
      <c r="D230" s="303">
        <f>SUM(D227:D229)</f>
        <v>322279.65000000002</v>
      </c>
      <c r="E230" s="317">
        <f t="shared" si="38"/>
        <v>45.243915621718457</v>
      </c>
      <c r="F230" s="301">
        <f>SUM(F227:F229)</f>
        <v>1097745</v>
      </c>
      <c r="G230" s="302">
        <f>SUM(G227:G229)</f>
        <v>1152902</v>
      </c>
      <c r="H230" s="303">
        <f>SUM(H227:H229)</f>
        <v>495920.18000000005</v>
      </c>
      <c r="I230" s="317">
        <f t="shared" si="39"/>
        <v>43.014946630329383</v>
      </c>
    </row>
    <row r="231" spans="1:9" ht="18" customHeight="1" x14ac:dyDescent="0.2">
      <c r="A231" s="305" t="s">
        <v>273</v>
      </c>
      <c r="B231" s="279">
        <v>0</v>
      </c>
      <c r="C231" s="281">
        <v>8000</v>
      </c>
      <c r="D231" s="280">
        <v>6027.51</v>
      </c>
      <c r="E231" s="282">
        <f t="shared" si="38"/>
        <v>75.343875000000011</v>
      </c>
      <c r="F231" s="279">
        <v>0</v>
      </c>
      <c r="G231" s="281">
        <v>18144</v>
      </c>
      <c r="H231" s="280">
        <v>5132.62</v>
      </c>
      <c r="I231" s="282">
        <f t="shared" si="39"/>
        <v>28.288249559082889</v>
      </c>
    </row>
    <row r="232" spans="1:9" ht="18" customHeight="1" x14ac:dyDescent="0.2">
      <c r="A232" s="307" t="s">
        <v>274</v>
      </c>
      <c r="B232" s="284">
        <v>0</v>
      </c>
      <c r="C232" s="286">
        <v>0</v>
      </c>
      <c r="D232" s="285">
        <v>0</v>
      </c>
      <c r="E232" s="287"/>
      <c r="F232" s="284">
        <v>0</v>
      </c>
      <c r="G232" s="286">
        <v>0</v>
      </c>
      <c r="H232" s="285">
        <v>0</v>
      </c>
      <c r="I232" s="287"/>
    </row>
    <row r="233" spans="1:9" ht="18" customHeight="1" x14ac:dyDescent="0.2">
      <c r="A233" s="307" t="s">
        <v>275</v>
      </c>
      <c r="B233" s="284">
        <v>0</v>
      </c>
      <c r="C233" s="286">
        <v>24384</v>
      </c>
      <c r="D233" s="285">
        <v>16635.98</v>
      </c>
      <c r="E233" s="287">
        <f t="shared" si="38"/>
        <v>68.224983595800524</v>
      </c>
      <c r="F233" s="284">
        <v>0</v>
      </c>
      <c r="G233" s="286">
        <v>0</v>
      </c>
      <c r="H233" s="285">
        <v>0</v>
      </c>
      <c r="I233" s="287"/>
    </row>
    <row r="234" spans="1:9" ht="18" customHeight="1" x14ac:dyDescent="0.2">
      <c r="A234" s="307" t="s">
        <v>276</v>
      </c>
      <c r="B234" s="284">
        <v>0</v>
      </c>
      <c r="C234" s="286">
        <v>0</v>
      </c>
      <c r="D234" s="285">
        <v>0</v>
      </c>
      <c r="E234" s="287"/>
      <c r="F234" s="284">
        <v>0</v>
      </c>
      <c r="G234" s="286">
        <v>0</v>
      </c>
      <c r="H234" s="285">
        <v>0</v>
      </c>
      <c r="I234" s="287"/>
    </row>
    <row r="235" spans="1:9" ht="18" customHeight="1" x14ac:dyDescent="0.2">
      <c r="A235" s="309" t="s">
        <v>277</v>
      </c>
      <c r="B235" s="284">
        <v>0</v>
      </c>
      <c r="C235" s="286">
        <v>300</v>
      </c>
      <c r="D235" s="285">
        <v>0</v>
      </c>
      <c r="E235" s="287">
        <f t="shared" si="38"/>
        <v>0</v>
      </c>
      <c r="F235" s="284">
        <v>0</v>
      </c>
      <c r="G235" s="286">
        <v>0</v>
      </c>
      <c r="H235" s="285">
        <v>0</v>
      </c>
      <c r="I235" s="287"/>
    </row>
    <row r="236" spans="1:9" ht="18" customHeight="1" x14ac:dyDescent="0.2">
      <c r="A236" s="309" t="s">
        <v>278</v>
      </c>
      <c r="B236" s="284">
        <v>0</v>
      </c>
      <c r="C236" s="286">
        <v>0</v>
      </c>
      <c r="D236" s="285">
        <v>0</v>
      </c>
      <c r="E236" s="287"/>
      <c r="F236" s="284">
        <v>0</v>
      </c>
      <c r="G236" s="286">
        <v>0</v>
      </c>
      <c r="H236" s="285">
        <v>0</v>
      </c>
      <c r="I236" s="287"/>
    </row>
    <row r="237" spans="1:9" ht="18" customHeight="1" x14ac:dyDescent="0.2">
      <c r="A237" s="309" t="s">
        <v>279</v>
      </c>
      <c r="B237" s="284">
        <v>0</v>
      </c>
      <c r="C237" s="286">
        <v>1500</v>
      </c>
      <c r="D237" s="285">
        <v>1500</v>
      </c>
      <c r="E237" s="287">
        <f t="shared" si="38"/>
        <v>100</v>
      </c>
      <c r="F237" s="284">
        <v>0</v>
      </c>
      <c r="G237" s="286">
        <v>5250</v>
      </c>
      <c r="H237" s="285">
        <v>5250</v>
      </c>
      <c r="I237" s="287">
        <f t="shared" si="39"/>
        <v>100</v>
      </c>
    </row>
    <row r="238" spans="1:9" ht="18" customHeight="1" x14ac:dyDescent="0.2">
      <c r="A238" s="309" t="s">
        <v>280</v>
      </c>
      <c r="B238" s="284">
        <v>0</v>
      </c>
      <c r="C238" s="286">
        <v>5000</v>
      </c>
      <c r="D238" s="285">
        <v>0</v>
      </c>
      <c r="E238" s="287">
        <f t="shared" si="38"/>
        <v>0</v>
      </c>
      <c r="F238" s="284">
        <v>0</v>
      </c>
      <c r="G238" s="286">
        <v>8900</v>
      </c>
      <c r="H238" s="285">
        <v>0</v>
      </c>
      <c r="I238" s="287">
        <f t="shared" si="39"/>
        <v>0</v>
      </c>
    </row>
    <row r="239" spans="1:9" ht="18" customHeight="1" x14ac:dyDescent="0.2">
      <c r="A239" s="309" t="s">
        <v>281</v>
      </c>
      <c r="B239" s="284">
        <v>0</v>
      </c>
      <c r="C239" s="286">
        <v>0</v>
      </c>
      <c r="D239" s="285">
        <v>0</v>
      </c>
      <c r="E239" s="287"/>
      <c r="F239" s="284">
        <v>0</v>
      </c>
      <c r="G239" s="286">
        <v>0</v>
      </c>
      <c r="H239" s="285">
        <v>0</v>
      </c>
      <c r="I239" s="287"/>
    </row>
    <row r="240" spans="1:9" ht="18" customHeight="1" thickBot="1" x14ac:dyDescent="0.25">
      <c r="A240" s="299" t="s">
        <v>282</v>
      </c>
      <c r="B240" s="289">
        <v>0</v>
      </c>
      <c r="C240" s="291">
        <v>0</v>
      </c>
      <c r="D240" s="290">
        <v>0</v>
      </c>
      <c r="E240" s="292"/>
      <c r="F240" s="289">
        <v>0</v>
      </c>
      <c r="G240" s="291">
        <v>0</v>
      </c>
      <c r="H240" s="290">
        <v>0</v>
      </c>
      <c r="I240" s="292"/>
    </row>
    <row r="241" spans="1:9" ht="20.25" customHeight="1" thickBot="1" x14ac:dyDescent="0.25">
      <c r="A241" s="313" t="s">
        <v>283</v>
      </c>
      <c r="B241" s="314">
        <f>SUM(B231:B240)</f>
        <v>0</v>
      </c>
      <c r="C241" s="319">
        <f>SUM(C231:C240)</f>
        <v>39184</v>
      </c>
      <c r="D241" s="318">
        <f>SUM(D231:D240)</f>
        <v>24163.489999999998</v>
      </c>
      <c r="E241" s="317">
        <f t="shared" ref="E241:E258" si="40">D241/C241*100</f>
        <v>61.666726214781541</v>
      </c>
      <c r="F241" s="314">
        <f>SUM(F231:F240)</f>
        <v>0</v>
      </c>
      <c r="G241" s="319">
        <f>SUM(G231:G240)</f>
        <v>32294</v>
      </c>
      <c r="H241" s="318">
        <f>SUM(H231:H240)</f>
        <v>10382.619999999999</v>
      </c>
      <c r="I241" s="328">
        <f t="shared" si="39"/>
        <v>32.150306558493838</v>
      </c>
    </row>
    <row r="242" spans="1:9" ht="20.25" customHeight="1" thickBot="1" x14ac:dyDescent="0.25">
      <c r="A242" s="313" t="s">
        <v>284</v>
      </c>
      <c r="B242" s="314">
        <v>0</v>
      </c>
      <c r="C242" s="319"/>
      <c r="D242" s="318">
        <f>400+500</f>
        <v>900</v>
      </c>
      <c r="E242" s="317"/>
      <c r="F242" s="314">
        <v>0</v>
      </c>
      <c r="G242" s="319">
        <v>0</v>
      </c>
      <c r="H242" s="318">
        <f>300+850</f>
        <v>1150</v>
      </c>
      <c r="I242" s="328"/>
    </row>
    <row r="243" spans="1:9" ht="24.95" customHeight="1" thickBot="1" x14ac:dyDescent="0.25">
      <c r="A243" s="293" t="s">
        <v>285</v>
      </c>
      <c r="B243" s="275">
        <f>SUM(B244:B248)</f>
        <v>234558</v>
      </c>
      <c r="C243" s="276">
        <f>SUM(C244:C248)</f>
        <v>251983</v>
      </c>
      <c r="D243" s="276">
        <f>SUM(D244:D248)</f>
        <v>86064.22</v>
      </c>
      <c r="E243" s="350">
        <f t="shared" si="40"/>
        <v>34.154772345753479</v>
      </c>
      <c r="F243" s="275">
        <f>SUM(F244:F248)</f>
        <v>356757</v>
      </c>
      <c r="G243" s="276">
        <f>SUM(G244:G248)</f>
        <v>356757</v>
      </c>
      <c r="H243" s="276">
        <f>SUM(H244:H248)</f>
        <v>152484.88999999998</v>
      </c>
      <c r="I243" s="350">
        <f t="shared" si="39"/>
        <v>42.741947600187238</v>
      </c>
    </row>
    <row r="244" spans="1:9" ht="18" customHeight="1" x14ac:dyDescent="0.2">
      <c r="A244" s="320" t="s">
        <v>286</v>
      </c>
      <c r="B244" s="279">
        <v>0</v>
      </c>
      <c r="C244" s="286">
        <v>4993</v>
      </c>
      <c r="D244" s="280">
        <f>2000+29.5+0.83</f>
        <v>2030.33</v>
      </c>
      <c r="E244" s="424"/>
      <c r="F244" s="279">
        <v>0</v>
      </c>
      <c r="G244" s="281">
        <v>0</v>
      </c>
      <c r="H244" s="280">
        <v>1.35</v>
      </c>
      <c r="I244" s="282"/>
    </row>
    <row r="245" spans="1:9" ht="18" customHeight="1" x14ac:dyDescent="0.2">
      <c r="A245" s="321" t="s">
        <v>287</v>
      </c>
      <c r="B245" s="284">
        <v>76807</v>
      </c>
      <c r="C245" s="286">
        <v>76807</v>
      </c>
      <c r="D245" s="285">
        <v>28230.2</v>
      </c>
      <c r="E245" s="287">
        <f t="shared" si="40"/>
        <v>36.75472287682112</v>
      </c>
      <c r="F245" s="284">
        <v>120227</v>
      </c>
      <c r="G245" s="286">
        <v>120227</v>
      </c>
      <c r="H245" s="285">
        <v>59221.19</v>
      </c>
      <c r="I245" s="287">
        <f t="shared" si="39"/>
        <v>49.25781230505627</v>
      </c>
    </row>
    <row r="246" spans="1:9" ht="18" customHeight="1" x14ac:dyDescent="0.2">
      <c r="A246" s="322" t="s">
        <v>288</v>
      </c>
      <c r="B246" s="284">
        <v>10080</v>
      </c>
      <c r="C246" s="286">
        <v>10080</v>
      </c>
      <c r="D246" s="285">
        <v>6743.51</v>
      </c>
      <c r="E246" s="287">
        <f t="shared" si="40"/>
        <v>66.899900793650787</v>
      </c>
      <c r="F246" s="284">
        <v>28000</v>
      </c>
      <c r="G246" s="286">
        <v>28000</v>
      </c>
      <c r="H246" s="285">
        <v>5727.43</v>
      </c>
      <c r="I246" s="287">
        <f t="shared" si="39"/>
        <v>20.455107142857145</v>
      </c>
    </row>
    <row r="247" spans="1:9" ht="18" customHeight="1" x14ac:dyDescent="0.2">
      <c r="A247" s="322" t="s">
        <v>289</v>
      </c>
      <c r="B247" s="284">
        <v>142871</v>
      </c>
      <c r="C247" s="286">
        <v>154253</v>
      </c>
      <c r="D247" s="285">
        <v>45413.96</v>
      </c>
      <c r="E247" s="287">
        <f t="shared" si="40"/>
        <v>29.441216702430424</v>
      </c>
      <c r="F247" s="284">
        <v>199730</v>
      </c>
      <c r="G247" s="286">
        <v>199730</v>
      </c>
      <c r="H247" s="285">
        <v>86798.9</v>
      </c>
      <c r="I247" s="287">
        <f t="shared" si="39"/>
        <v>43.45811845992089</v>
      </c>
    </row>
    <row r="248" spans="1:9" ht="18" customHeight="1" thickBot="1" x14ac:dyDescent="0.25">
      <c r="A248" s="323" t="s">
        <v>290</v>
      </c>
      <c r="B248" s="289">
        <v>4800</v>
      </c>
      <c r="C248" s="291">
        <v>5850</v>
      </c>
      <c r="D248" s="290">
        <v>3646.22</v>
      </c>
      <c r="E248" s="292">
        <f t="shared" si="40"/>
        <v>62.328547008547005</v>
      </c>
      <c r="F248" s="289">
        <v>8800</v>
      </c>
      <c r="G248" s="291">
        <v>8800</v>
      </c>
      <c r="H248" s="290">
        <v>736.02</v>
      </c>
      <c r="I248" s="292">
        <f t="shared" si="39"/>
        <v>8.3638636363636358</v>
      </c>
    </row>
    <row r="249" spans="1:9" ht="18" customHeight="1" thickBot="1" x14ac:dyDescent="0.25">
      <c r="A249" s="420" t="s">
        <v>291</v>
      </c>
      <c r="B249" s="325">
        <v>16893</v>
      </c>
      <c r="C249" s="327">
        <v>16893</v>
      </c>
      <c r="D249" s="326">
        <v>13059.29</v>
      </c>
      <c r="E249" s="328">
        <f t="shared" si="40"/>
        <v>77.305925531285155</v>
      </c>
      <c r="F249" s="325">
        <v>17194</v>
      </c>
      <c r="G249" s="327">
        <v>17194</v>
      </c>
      <c r="H249" s="326">
        <v>18468.43</v>
      </c>
      <c r="I249" s="328">
        <f t="shared" si="39"/>
        <v>107.41206234733048</v>
      </c>
    </row>
    <row r="250" spans="1:9" ht="18" customHeight="1" thickBot="1" x14ac:dyDescent="0.25">
      <c r="A250" s="421" t="s">
        <v>292</v>
      </c>
      <c r="B250" s="325">
        <v>39744</v>
      </c>
      <c r="C250" s="327">
        <v>39744</v>
      </c>
      <c r="D250" s="326">
        <v>6759.6</v>
      </c>
      <c r="E250" s="328">
        <f t="shared" si="40"/>
        <v>17.007850241545892</v>
      </c>
      <c r="F250" s="325">
        <v>75600</v>
      </c>
      <c r="G250" s="327">
        <v>75600</v>
      </c>
      <c r="H250" s="326">
        <v>16074</v>
      </c>
      <c r="I250" s="328">
        <f t="shared" si="39"/>
        <v>21.261904761904763</v>
      </c>
    </row>
    <row r="251" spans="1:9" ht="18" customHeight="1" thickBot="1" x14ac:dyDescent="0.25">
      <c r="A251" s="421" t="s">
        <v>293</v>
      </c>
      <c r="B251" s="325">
        <v>0</v>
      </c>
      <c r="C251" s="327">
        <v>0</v>
      </c>
      <c r="D251" s="326">
        <v>90</v>
      </c>
      <c r="E251" s="317"/>
      <c r="F251" s="325">
        <v>0</v>
      </c>
      <c r="G251" s="327">
        <v>0</v>
      </c>
      <c r="H251" s="326">
        <v>362.8</v>
      </c>
      <c r="I251" s="328"/>
    </row>
    <row r="252" spans="1:9" ht="19.899999999999999" customHeight="1" thickBot="1" x14ac:dyDescent="0.25">
      <c r="A252" s="330" t="s">
        <v>294</v>
      </c>
      <c r="B252" s="275">
        <f t="shared" ref="B252:D252" si="41">SUM(B253:B254)</f>
        <v>0</v>
      </c>
      <c r="C252" s="276">
        <f t="shared" si="41"/>
        <v>0</v>
      </c>
      <c r="D252" s="276">
        <f t="shared" si="41"/>
        <v>0</v>
      </c>
      <c r="E252" s="350"/>
      <c r="F252" s="275">
        <f t="shared" ref="F252:H252" si="42">SUM(F253:F254)</f>
        <v>0</v>
      </c>
      <c r="G252" s="276">
        <f t="shared" si="42"/>
        <v>0</v>
      </c>
      <c r="H252" s="276">
        <f t="shared" si="42"/>
        <v>0</v>
      </c>
      <c r="I252" s="378"/>
    </row>
    <row r="253" spans="1:9" ht="19.899999999999999" customHeight="1" thickBot="1" x14ac:dyDescent="0.25">
      <c r="A253" s="331" t="s">
        <v>295</v>
      </c>
      <c r="B253" s="279">
        <v>0</v>
      </c>
      <c r="C253" s="281">
        <v>0</v>
      </c>
      <c r="D253" s="280">
        <v>0</v>
      </c>
      <c r="E253" s="424"/>
      <c r="F253" s="279">
        <v>0</v>
      </c>
      <c r="G253" s="281">
        <v>0</v>
      </c>
      <c r="H253" s="280">
        <v>0</v>
      </c>
      <c r="I253" s="282"/>
    </row>
    <row r="254" spans="1:9" ht="19.899999999999999" customHeight="1" thickBot="1" x14ac:dyDescent="0.25">
      <c r="A254" s="335" t="s">
        <v>296</v>
      </c>
      <c r="B254" s="289">
        <v>0</v>
      </c>
      <c r="C254" s="291">
        <v>0</v>
      </c>
      <c r="D254" s="290">
        <v>0</v>
      </c>
      <c r="E254" s="425"/>
      <c r="F254" s="289">
        <v>0</v>
      </c>
      <c r="G254" s="291">
        <v>0</v>
      </c>
      <c r="H254" s="290">
        <v>0</v>
      </c>
      <c r="I254" s="292"/>
    </row>
    <row r="255" spans="1:9" ht="19.899999999999999" customHeight="1" thickBot="1" x14ac:dyDescent="0.25">
      <c r="A255" s="274" t="s">
        <v>297</v>
      </c>
      <c r="B255" s="275">
        <f>B226+B243+B252+B249+B250</f>
        <v>961486</v>
      </c>
      <c r="C255" s="276">
        <f>C226+C243+C252+C249+C250</f>
        <v>1060120</v>
      </c>
      <c r="D255" s="276">
        <f>D226+D243+D252+D249+D250+D251</f>
        <v>453316.24999999994</v>
      </c>
      <c r="E255" s="350">
        <f t="shared" si="40"/>
        <v>42.76084311210051</v>
      </c>
      <c r="F255" s="275">
        <f>F226+F243+F252+F249+F250</f>
        <v>1547296</v>
      </c>
      <c r="G255" s="276">
        <f t="shared" ref="G255" si="43">G226+G243+G252+G249+G250</f>
        <v>1634747</v>
      </c>
      <c r="H255" s="276">
        <f>H226+H243+H252+H249+H250+H251</f>
        <v>694842.92000000016</v>
      </c>
      <c r="I255" s="350">
        <f t="shared" si="39"/>
        <v>42.504615087227577</v>
      </c>
    </row>
    <row r="256" spans="1:9" ht="19.899999999999999" customHeight="1" x14ac:dyDescent="0.2">
      <c r="A256" s="340" t="s">
        <v>298</v>
      </c>
      <c r="B256" s="279">
        <v>0</v>
      </c>
      <c r="C256" s="341">
        <v>0</v>
      </c>
      <c r="D256" s="379">
        <v>0</v>
      </c>
      <c r="E256" s="426"/>
      <c r="F256" s="279">
        <v>0</v>
      </c>
      <c r="G256" s="341">
        <v>0</v>
      </c>
      <c r="H256" s="342">
        <v>0</v>
      </c>
      <c r="I256" s="282"/>
    </row>
    <row r="257" spans="1:248" ht="19.899999999999999" customHeight="1" thickBot="1" x14ac:dyDescent="0.25">
      <c r="A257" s="343" t="s">
        <v>299</v>
      </c>
      <c r="B257" s="289">
        <v>0</v>
      </c>
      <c r="C257" s="291">
        <v>0</v>
      </c>
      <c r="D257" s="380">
        <v>0</v>
      </c>
      <c r="E257" s="427"/>
      <c r="F257" s="289">
        <v>0</v>
      </c>
      <c r="G257" s="291">
        <v>0</v>
      </c>
      <c r="H257" s="337">
        <v>0</v>
      </c>
      <c r="I257" s="292"/>
    </row>
    <row r="258" spans="1:248" ht="19.899999999999999" customHeight="1" thickBot="1" x14ac:dyDescent="0.25">
      <c r="A258" s="274" t="s">
        <v>300</v>
      </c>
      <c r="B258" s="339">
        <f>SUM(B255:B257)</f>
        <v>961486</v>
      </c>
      <c r="C258" s="344">
        <f t="shared" ref="C258:D258" si="44">SUM(C255:C257)</f>
        <v>1060120</v>
      </c>
      <c r="D258" s="344">
        <f t="shared" si="44"/>
        <v>453316.24999999994</v>
      </c>
      <c r="E258" s="350">
        <f t="shared" si="40"/>
        <v>42.76084311210051</v>
      </c>
      <c r="F258" s="339">
        <f>SUM(F255:F257)</f>
        <v>1547296</v>
      </c>
      <c r="G258" s="344">
        <f t="shared" ref="G258:H258" si="45">SUM(G255:G257)</f>
        <v>1634747</v>
      </c>
      <c r="H258" s="344">
        <f t="shared" si="45"/>
        <v>694842.92000000016</v>
      </c>
      <c r="I258" s="350">
        <f t="shared" si="39"/>
        <v>42.504615087227577</v>
      </c>
    </row>
    <row r="259" spans="1:248" ht="24.6" customHeight="1" x14ac:dyDescent="0.2">
      <c r="A259" s="345"/>
      <c r="B259" s="346"/>
      <c r="C259" s="346"/>
      <c r="D259" s="346"/>
      <c r="E259" s="347"/>
      <c r="F259" s="347"/>
      <c r="G259" s="346"/>
      <c r="H259" s="346"/>
      <c r="I259" s="347"/>
      <c r="J259" s="381"/>
      <c r="K259" s="381"/>
      <c r="L259" s="381"/>
      <c r="M259" s="381"/>
      <c r="N259" s="381"/>
      <c r="O259" s="381"/>
      <c r="P259" s="381"/>
      <c r="Q259" s="381"/>
      <c r="R259" s="381"/>
      <c r="S259" s="381"/>
      <c r="T259" s="381"/>
      <c r="U259" s="381"/>
      <c r="V259" s="381"/>
      <c r="W259" s="381"/>
      <c r="X259" s="381"/>
      <c r="Y259" s="381"/>
      <c r="Z259" s="381"/>
      <c r="AA259" s="381"/>
      <c r="AB259" s="381"/>
      <c r="AC259" s="381"/>
      <c r="AD259" s="381"/>
      <c r="AE259" s="381"/>
      <c r="AF259" s="381"/>
      <c r="AG259" s="381"/>
      <c r="AH259" s="381"/>
      <c r="AI259" s="381"/>
      <c r="AJ259" s="381"/>
      <c r="AK259" s="381"/>
      <c r="AL259" s="381"/>
      <c r="AM259" s="381"/>
      <c r="AN259" s="381"/>
      <c r="AO259" s="381"/>
      <c r="AP259" s="381"/>
      <c r="AQ259" s="381"/>
      <c r="AR259" s="381"/>
      <c r="AS259" s="381"/>
      <c r="AT259" s="381"/>
      <c r="AU259" s="381"/>
      <c r="AV259" s="381"/>
      <c r="AW259" s="381"/>
      <c r="AX259" s="381"/>
      <c r="AY259" s="381"/>
      <c r="AZ259" s="381"/>
      <c r="BA259" s="381"/>
      <c r="BB259" s="381"/>
      <c r="BC259" s="381"/>
      <c r="BD259" s="381"/>
      <c r="BE259" s="381"/>
      <c r="BF259" s="381"/>
      <c r="BG259" s="381"/>
      <c r="BH259" s="381"/>
      <c r="BI259" s="381"/>
      <c r="BJ259" s="381"/>
      <c r="BK259" s="381"/>
      <c r="BL259" s="381"/>
      <c r="BM259" s="381"/>
      <c r="BN259" s="381"/>
      <c r="BO259" s="381"/>
      <c r="BP259" s="381"/>
      <c r="BQ259" s="381"/>
      <c r="BR259" s="381"/>
      <c r="BS259" s="381"/>
      <c r="BT259" s="381"/>
      <c r="BU259" s="381"/>
      <c r="BV259" s="381"/>
      <c r="BW259" s="381"/>
      <c r="BX259" s="381"/>
      <c r="BY259" s="381"/>
      <c r="BZ259" s="381"/>
      <c r="CA259" s="381"/>
      <c r="CB259" s="381"/>
      <c r="CC259" s="381"/>
      <c r="CD259" s="381"/>
      <c r="CE259" s="381"/>
      <c r="CF259" s="381"/>
      <c r="CG259" s="381"/>
      <c r="CH259" s="381"/>
      <c r="CI259" s="381"/>
      <c r="CJ259" s="381"/>
      <c r="CK259" s="381"/>
      <c r="CL259" s="381"/>
      <c r="CM259" s="381"/>
      <c r="CN259" s="381"/>
      <c r="CO259" s="381"/>
      <c r="CP259" s="381"/>
      <c r="CQ259" s="381"/>
      <c r="CR259" s="381"/>
      <c r="CS259" s="381"/>
      <c r="CT259" s="381"/>
      <c r="CU259" s="381"/>
      <c r="CV259" s="381"/>
      <c r="CW259" s="381"/>
      <c r="CX259" s="381"/>
      <c r="CY259" s="381"/>
      <c r="CZ259" s="381"/>
      <c r="DA259" s="381"/>
      <c r="DB259" s="381"/>
      <c r="DC259" s="381"/>
      <c r="DD259" s="381"/>
      <c r="DE259" s="381"/>
      <c r="DF259" s="381"/>
      <c r="DG259" s="381"/>
      <c r="DH259" s="381"/>
      <c r="DI259" s="381"/>
      <c r="DJ259" s="381"/>
      <c r="DK259" s="381"/>
      <c r="DL259" s="381"/>
      <c r="DM259" s="381"/>
      <c r="DN259" s="381"/>
      <c r="DO259" s="381"/>
      <c r="DP259" s="381"/>
      <c r="DQ259" s="381"/>
      <c r="DR259" s="381"/>
      <c r="DS259" s="381"/>
      <c r="DT259" s="381"/>
      <c r="DU259" s="381"/>
      <c r="DV259" s="381"/>
      <c r="DW259" s="381"/>
      <c r="DX259" s="381"/>
      <c r="DY259" s="381"/>
      <c r="DZ259" s="381"/>
      <c r="EA259" s="381"/>
      <c r="EB259" s="381"/>
      <c r="EC259" s="381"/>
      <c r="ED259" s="381"/>
      <c r="EE259" s="381"/>
      <c r="EF259" s="381"/>
      <c r="EG259" s="381"/>
      <c r="EH259" s="381"/>
      <c r="EI259" s="381"/>
      <c r="EJ259" s="381"/>
      <c r="EK259" s="381"/>
      <c r="EL259" s="381"/>
      <c r="EM259" s="381"/>
      <c r="EN259" s="381"/>
      <c r="EO259" s="381"/>
      <c r="EP259" s="381"/>
      <c r="EQ259" s="381"/>
      <c r="ER259" s="381"/>
      <c r="ES259" s="381"/>
      <c r="ET259" s="381"/>
      <c r="EU259" s="381"/>
      <c r="EV259" s="381"/>
      <c r="EW259" s="381"/>
      <c r="EX259" s="381"/>
      <c r="EY259" s="381"/>
      <c r="EZ259" s="381"/>
      <c r="FA259" s="381"/>
      <c r="FB259" s="381"/>
      <c r="FC259" s="381"/>
      <c r="FD259" s="381"/>
      <c r="FE259" s="381"/>
      <c r="FF259" s="381"/>
      <c r="FG259" s="381"/>
      <c r="FH259" s="381"/>
      <c r="FI259" s="381"/>
      <c r="FJ259" s="381"/>
      <c r="FK259" s="381"/>
      <c r="FL259" s="381"/>
      <c r="FM259" s="381"/>
      <c r="FN259" s="381"/>
      <c r="FO259" s="381"/>
      <c r="FP259" s="381"/>
      <c r="FQ259" s="381"/>
      <c r="FR259" s="381"/>
      <c r="FS259" s="381"/>
      <c r="FT259" s="381"/>
      <c r="FU259" s="381"/>
      <c r="FV259" s="381"/>
      <c r="FW259" s="381"/>
      <c r="FX259" s="381"/>
      <c r="FY259" s="381"/>
      <c r="FZ259" s="381"/>
      <c r="GA259" s="381"/>
      <c r="GB259" s="381"/>
      <c r="GC259" s="381"/>
      <c r="GD259" s="381"/>
      <c r="GE259" s="381"/>
      <c r="GF259" s="381"/>
      <c r="GG259" s="381"/>
      <c r="GH259" s="381"/>
      <c r="GI259" s="381"/>
      <c r="GJ259" s="381"/>
      <c r="GK259" s="381"/>
      <c r="GL259" s="381"/>
      <c r="GM259" s="381"/>
      <c r="GN259" s="381"/>
      <c r="GO259" s="381"/>
      <c r="GP259" s="381"/>
      <c r="GQ259" s="381"/>
      <c r="GR259" s="381"/>
      <c r="GS259" s="381"/>
      <c r="GT259" s="381"/>
      <c r="GU259" s="381"/>
      <c r="GV259" s="381"/>
      <c r="GW259" s="381"/>
      <c r="GX259" s="381"/>
      <c r="GY259" s="381"/>
      <c r="GZ259" s="381"/>
      <c r="HA259" s="381"/>
      <c r="HB259" s="381"/>
      <c r="HC259" s="381"/>
      <c r="HD259" s="381"/>
      <c r="HE259" s="381"/>
      <c r="HF259" s="381"/>
      <c r="HG259" s="381"/>
      <c r="HH259" s="381"/>
      <c r="HI259" s="381"/>
      <c r="HJ259" s="381"/>
      <c r="HK259" s="381"/>
      <c r="HL259" s="381"/>
      <c r="HM259" s="381"/>
      <c r="HN259" s="381"/>
      <c r="HO259" s="381"/>
      <c r="HP259" s="381"/>
      <c r="HQ259" s="381"/>
      <c r="HR259" s="381"/>
      <c r="HS259" s="381"/>
      <c r="HT259" s="381"/>
      <c r="HU259" s="381"/>
      <c r="HV259" s="381"/>
      <c r="HW259" s="381"/>
      <c r="HX259" s="381"/>
      <c r="HY259" s="381"/>
      <c r="HZ259" s="381"/>
      <c r="IA259" s="381"/>
      <c r="IB259" s="381"/>
      <c r="IC259" s="381"/>
      <c r="ID259" s="381"/>
      <c r="IE259" s="381"/>
      <c r="IF259" s="381"/>
      <c r="IG259" s="381"/>
      <c r="IH259" s="381"/>
      <c r="II259" s="381"/>
      <c r="IJ259" s="381"/>
      <c r="IK259" s="381"/>
      <c r="IL259" s="381"/>
      <c r="IM259" s="381"/>
      <c r="IN259" s="381"/>
    </row>
    <row r="260" spans="1:248" ht="18.75" customHeight="1" x14ac:dyDescent="0.2">
      <c r="A260" s="345"/>
      <c r="B260" s="346"/>
      <c r="C260" s="346"/>
      <c r="D260" s="346"/>
      <c r="E260" s="347"/>
      <c r="F260" s="347"/>
      <c r="G260" s="346"/>
      <c r="H260" s="346"/>
      <c r="I260" s="347"/>
      <c r="J260" s="381"/>
      <c r="K260" s="381"/>
      <c r="L260" s="381"/>
      <c r="M260" s="381"/>
      <c r="N260" s="381"/>
      <c r="O260" s="381"/>
      <c r="P260" s="381"/>
      <c r="Q260" s="381"/>
      <c r="R260" s="381"/>
      <c r="S260" s="381"/>
      <c r="T260" s="381"/>
      <c r="U260" s="381"/>
      <c r="V260" s="381"/>
      <c r="W260" s="381"/>
      <c r="X260" s="381"/>
      <c r="Y260" s="381"/>
      <c r="Z260" s="381"/>
      <c r="AA260" s="381"/>
      <c r="AB260" s="381"/>
      <c r="AC260" s="381"/>
      <c r="AD260" s="381"/>
      <c r="AE260" s="381"/>
      <c r="AF260" s="381"/>
      <c r="AG260" s="381"/>
      <c r="AH260" s="381"/>
      <c r="AI260" s="381"/>
      <c r="AJ260" s="381"/>
      <c r="AK260" s="381"/>
      <c r="AL260" s="381"/>
      <c r="AM260" s="381"/>
      <c r="AN260" s="381"/>
      <c r="AO260" s="381"/>
      <c r="AP260" s="381"/>
      <c r="AQ260" s="381"/>
      <c r="AR260" s="381"/>
      <c r="AS260" s="381"/>
      <c r="AT260" s="381"/>
      <c r="AU260" s="381"/>
      <c r="AV260" s="381"/>
      <c r="AW260" s="381"/>
      <c r="AX260" s="381"/>
      <c r="AY260" s="381"/>
      <c r="AZ260" s="381"/>
      <c r="BA260" s="381"/>
      <c r="BB260" s="381"/>
      <c r="BC260" s="381"/>
      <c r="BD260" s="381"/>
      <c r="BE260" s="381"/>
      <c r="BF260" s="381"/>
      <c r="BG260" s="381"/>
      <c r="BH260" s="381"/>
      <c r="BI260" s="381"/>
      <c r="BJ260" s="381"/>
      <c r="BK260" s="381"/>
      <c r="BL260" s="381"/>
      <c r="BM260" s="381"/>
      <c r="BN260" s="381"/>
      <c r="BO260" s="381"/>
      <c r="BP260" s="381"/>
      <c r="BQ260" s="381"/>
      <c r="BR260" s="381"/>
      <c r="BS260" s="381"/>
      <c r="BT260" s="381"/>
      <c r="BU260" s="381"/>
      <c r="BV260" s="381"/>
      <c r="BW260" s="381"/>
      <c r="BX260" s="381"/>
      <c r="BY260" s="381"/>
      <c r="BZ260" s="381"/>
      <c r="CA260" s="381"/>
      <c r="CB260" s="381"/>
      <c r="CC260" s="381"/>
      <c r="CD260" s="381"/>
      <c r="CE260" s="381"/>
      <c r="CF260" s="381"/>
      <c r="CG260" s="381"/>
      <c r="CH260" s="381"/>
      <c r="CI260" s="381"/>
      <c r="CJ260" s="381"/>
      <c r="CK260" s="381"/>
      <c r="CL260" s="381"/>
      <c r="CM260" s="381"/>
      <c r="CN260" s="381"/>
      <c r="CO260" s="381"/>
      <c r="CP260" s="381"/>
      <c r="CQ260" s="381"/>
      <c r="CR260" s="381"/>
      <c r="CS260" s="381"/>
      <c r="CT260" s="381"/>
      <c r="CU260" s="381"/>
      <c r="CV260" s="381"/>
      <c r="CW260" s="381"/>
      <c r="CX260" s="381"/>
      <c r="CY260" s="381"/>
      <c r="CZ260" s="381"/>
      <c r="DA260" s="381"/>
      <c r="DB260" s="381"/>
      <c r="DC260" s="381"/>
      <c r="DD260" s="381"/>
      <c r="DE260" s="381"/>
      <c r="DF260" s="381"/>
      <c r="DG260" s="381"/>
      <c r="DH260" s="381"/>
      <c r="DI260" s="381"/>
      <c r="DJ260" s="381"/>
      <c r="DK260" s="381"/>
      <c r="DL260" s="381"/>
      <c r="DM260" s="381"/>
      <c r="DN260" s="381"/>
      <c r="DO260" s="381"/>
      <c r="DP260" s="381"/>
      <c r="DQ260" s="381"/>
      <c r="DR260" s="381"/>
      <c r="DS260" s="381"/>
      <c r="DT260" s="381"/>
      <c r="DU260" s="381"/>
      <c r="DV260" s="381"/>
      <c r="DW260" s="381"/>
      <c r="DX260" s="381"/>
      <c r="DY260" s="381"/>
      <c r="DZ260" s="381"/>
      <c r="EA260" s="381"/>
      <c r="EB260" s="381"/>
      <c r="EC260" s="381"/>
      <c r="ED260" s="381"/>
      <c r="EE260" s="381"/>
      <c r="EF260" s="381"/>
      <c r="EG260" s="381"/>
      <c r="EH260" s="381"/>
      <c r="EI260" s="381"/>
      <c r="EJ260" s="381"/>
      <c r="EK260" s="381"/>
      <c r="EL260" s="381"/>
      <c r="EM260" s="381"/>
      <c r="EN260" s="381"/>
      <c r="EO260" s="381"/>
      <c r="EP260" s="381"/>
      <c r="EQ260" s="381"/>
      <c r="ER260" s="381"/>
      <c r="ES260" s="381"/>
      <c r="ET260" s="381"/>
      <c r="EU260" s="381"/>
      <c r="EV260" s="381"/>
      <c r="EW260" s="381"/>
      <c r="EX260" s="381"/>
      <c r="EY260" s="381"/>
      <c r="EZ260" s="381"/>
      <c r="FA260" s="381"/>
      <c r="FB260" s="381"/>
      <c r="FC260" s="381"/>
      <c r="FD260" s="381"/>
      <c r="FE260" s="381"/>
      <c r="FF260" s="381"/>
      <c r="FG260" s="381"/>
      <c r="FH260" s="381"/>
      <c r="FI260" s="381"/>
      <c r="FJ260" s="381"/>
      <c r="FK260" s="381"/>
      <c r="FL260" s="381"/>
      <c r="FM260" s="381"/>
      <c r="FN260" s="381"/>
      <c r="FO260" s="381"/>
      <c r="FP260" s="381"/>
      <c r="FQ260" s="381"/>
      <c r="FR260" s="381"/>
      <c r="FS260" s="381"/>
      <c r="FT260" s="381"/>
      <c r="FU260" s="381"/>
      <c r="FV260" s="381"/>
      <c r="FW260" s="381"/>
      <c r="FX260" s="381"/>
      <c r="FY260" s="381"/>
      <c r="FZ260" s="381"/>
      <c r="GA260" s="381"/>
      <c r="GB260" s="381"/>
      <c r="GC260" s="381"/>
      <c r="GD260" s="381"/>
      <c r="GE260" s="381"/>
      <c r="GF260" s="381"/>
      <c r="GG260" s="381"/>
      <c r="GH260" s="381"/>
      <c r="GI260" s="381"/>
      <c r="GJ260" s="381"/>
      <c r="GK260" s="381"/>
      <c r="GL260" s="381"/>
      <c r="GM260" s="381"/>
      <c r="GN260" s="381"/>
      <c r="GO260" s="381"/>
      <c r="GP260" s="381"/>
      <c r="GQ260" s="381"/>
      <c r="GR260" s="381"/>
      <c r="GS260" s="381"/>
      <c r="GT260" s="381"/>
      <c r="GU260" s="381"/>
      <c r="GV260" s="381"/>
      <c r="GW260" s="381"/>
      <c r="GX260" s="381"/>
      <c r="GY260" s="381"/>
      <c r="GZ260" s="381"/>
      <c r="HA260" s="381"/>
      <c r="HB260" s="381"/>
      <c r="HC260" s="381"/>
      <c r="HD260" s="381"/>
      <c r="HE260" s="381"/>
      <c r="HF260" s="381"/>
      <c r="HG260" s="381"/>
      <c r="HH260" s="381"/>
      <c r="HI260" s="381"/>
      <c r="HJ260" s="381"/>
      <c r="HK260" s="381"/>
      <c r="HL260" s="381"/>
      <c r="HM260" s="381"/>
      <c r="HN260" s="381"/>
      <c r="HO260" s="381"/>
      <c r="HP260" s="381"/>
      <c r="HQ260" s="381"/>
      <c r="HR260" s="381"/>
      <c r="HS260" s="381"/>
      <c r="HT260" s="381"/>
      <c r="HU260" s="381"/>
      <c r="HV260" s="381"/>
      <c r="HW260" s="381"/>
      <c r="HX260" s="381"/>
      <c r="HY260" s="381"/>
      <c r="HZ260" s="381"/>
      <c r="IA260" s="381"/>
      <c r="IB260" s="381"/>
      <c r="IC260" s="381"/>
      <c r="ID260" s="381"/>
      <c r="IE260" s="381"/>
      <c r="IF260" s="381"/>
      <c r="IG260" s="381"/>
      <c r="IH260" s="381"/>
      <c r="II260" s="381"/>
      <c r="IJ260" s="381"/>
      <c r="IK260" s="381"/>
      <c r="IL260" s="381"/>
      <c r="IM260" s="381"/>
      <c r="IN260" s="381"/>
    </row>
    <row r="261" spans="1:248" ht="15" customHeight="1" x14ac:dyDescent="0.2">
      <c r="A261" s="499" t="s">
        <v>255</v>
      </c>
      <c r="B261" s="500"/>
      <c r="C261" s="500"/>
      <c r="D261" s="500"/>
      <c r="E261" s="500"/>
      <c r="F261" s="500"/>
      <c r="G261" s="500"/>
      <c r="H261" s="500"/>
      <c r="I261" s="347"/>
      <c r="J261" s="381"/>
      <c r="K261" s="381"/>
      <c r="L261" s="381"/>
      <c r="M261" s="381"/>
      <c r="N261" s="381"/>
      <c r="O261" s="381"/>
      <c r="P261" s="381"/>
      <c r="Q261" s="381"/>
      <c r="R261" s="381"/>
      <c r="S261" s="381"/>
      <c r="T261" s="381"/>
      <c r="U261" s="381"/>
      <c r="V261" s="381"/>
      <c r="W261" s="381"/>
      <c r="X261" s="381"/>
      <c r="Y261" s="381"/>
      <c r="Z261" s="381"/>
      <c r="AA261" s="381"/>
      <c r="AB261" s="381"/>
      <c r="AC261" s="381"/>
      <c r="AD261" s="381"/>
      <c r="AE261" s="381"/>
      <c r="AF261" s="381"/>
      <c r="AG261" s="381"/>
      <c r="AH261" s="381"/>
      <c r="AI261" s="381"/>
      <c r="AJ261" s="381"/>
      <c r="AK261" s="381"/>
      <c r="AL261" s="381"/>
      <c r="AM261" s="381"/>
      <c r="AN261" s="381"/>
      <c r="AO261" s="381"/>
      <c r="AP261" s="381"/>
      <c r="AQ261" s="381"/>
      <c r="AR261" s="381"/>
      <c r="AS261" s="381"/>
      <c r="AT261" s="381"/>
      <c r="AU261" s="381"/>
      <c r="AV261" s="381"/>
      <c r="AW261" s="381"/>
      <c r="AX261" s="381"/>
      <c r="AY261" s="381"/>
      <c r="AZ261" s="381"/>
      <c r="BA261" s="381"/>
      <c r="BB261" s="381"/>
      <c r="BC261" s="381"/>
      <c r="BD261" s="381"/>
      <c r="BE261" s="381"/>
      <c r="BF261" s="381"/>
      <c r="BG261" s="381"/>
      <c r="BH261" s="381"/>
      <c r="BI261" s="381"/>
      <c r="BJ261" s="381"/>
      <c r="BK261" s="381"/>
      <c r="BL261" s="381"/>
      <c r="BM261" s="381"/>
      <c r="BN261" s="381"/>
      <c r="BO261" s="381"/>
      <c r="BP261" s="381"/>
      <c r="BQ261" s="381"/>
      <c r="BR261" s="381"/>
      <c r="BS261" s="381"/>
      <c r="BT261" s="381"/>
      <c r="BU261" s="381"/>
      <c r="BV261" s="381"/>
      <c r="BW261" s="381"/>
      <c r="BX261" s="381"/>
      <c r="BY261" s="381"/>
      <c r="BZ261" s="381"/>
      <c r="CA261" s="381"/>
      <c r="CB261" s="381"/>
      <c r="CC261" s="381"/>
      <c r="CD261" s="381"/>
      <c r="CE261" s="381"/>
      <c r="CF261" s="381"/>
      <c r="CG261" s="381"/>
      <c r="CH261" s="381"/>
      <c r="CI261" s="381"/>
      <c r="CJ261" s="381"/>
      <c r="CK261" s="381"/>
      <c r="CL261" s="381"/>
      <c r="CM261" s="381"/>
      <c r="CN261" s="381"/>
      <c r="CO261" s="381"/>
      <c r="CP261" s="381"/>
      <c r="CQ261" s="381"/>
      <c r="CR261" s="381"/>
      <c r="CS261" s="381"/>
      <c r="CT261" s="381"/>
      <c r="CU261" s="381"/>
      <c r="CV261" s="381"/>
      <c r="CW261" s="381"/>
      <c r="CX261" s="381"/>
      <c r="CY261" s="381"/>
      <c r="CZ261" s="381"/>
      <c r="DA261" s="381"/>
      <c r="DB261" s="381"/>
      <c r="DC261" s="381"/>
      <c r="DD261" s="381"/>
      <c r="DE261" s="381"/>
      <c r="DF261" s="381"/>
      <c r="DG261" s="381"/>
      <c r="DH261" s="381"/>
      <c r="DI261" s="381"/>
      <c r="DJ261" s="381"/>
      <c r="DK261" s="381"/>
      <c r="DL261" s="381"/>
      <c r="DM261" s="381"/>
      <c r="DN261" s="381"/>
      <c r="DO261" s="381"/>
      <c r="DP261" s="381"/>
      <c r="DQ261" s="381"/>
      <c r="DR261" s="381"/>
      <c r="DS261" s="381"/>
      <c r="DT261" s="381"/>
      <c r="DU261" s="381"/>
      <c r="DV261" s="381"/>
      <c r="DW261" s="381"/>
      <c r="DX261" s="381"/>
      <c r="DY261" s="381"/>
      <c r="DZ261" s="381"/>
      <c r="EA261" s="381"/>
      <c r="EB261" s="381"/>
      <c r="EC261" s="381"/>
      <c r="ED261" s="381"/>
      <c r="EE261" s="381"/>
      <c r="EF261" s="381"/>
      <c r="EG261" s="381"/>
      <c r="EH261" s="381"/>
      <c r="EI261" s="381"/>
      <c r="EJ261" s="381"/>
      <c r="EK261" s="381"/>
      <c r="EL261" s="381"/>
      <c r="EM261" s="381"/>
      <c r="EN261" s="381"/>
      <c r="EO261" s="381"/>
      <c r="EP261" s="381"/>
      <c r="EQ261" s="381"/>
      <c r="ER261" s="381"/>
      <c r="ES261" s="381"/>
      <c r="ET261" s="381"/>
      <c r="EU261" s="381"/>
      <c r="EV261" s="381"/>
      <c r="EW261" s="381"/>
      <c r="EX261" s="381"/>
      <c r="EY261" s="381"/>
      <c r="EZ261" s="381"/>
      <c r="FA261" s="381"/>
      <c r="FB261" s="381"/>
      <c r="FC261" s="381"/>
      <c r="FD261" s="381"/>
      <c r="FE261" s="381"/>
      <c r="FF261" s="381"/>
      <c r="FG261" s="381"/>
      <c r="FH261" s="381"/>
      <c r="FI261" s="381"/>
      <c r="FJ261" s="381"/>
      <c r="FK261" s="381"/>
      <c r="FL261" s="381"/>
      <c r="FM261" s="381"/>
      <c r="FN261" s="381"/>
      <c r="FO261" s="381"/>
      <c r="FP261" s="381"/>
      <c r="FQ261" s="381"/>
      <c r="FR261" s="381"/>
      <c r="FS261" s="381"/>
      <c r="FT261" s="381"/>
      <c r="FU261" s="381"/>
      <c r="FV261" s="381"/>
      <c r="FW261" s="381"/>
      <c r="FX261" s="381"/>
      <c r="FY261" s="381"/>
      <c r="FZ261" s="381"/>
      <c r="GA261" s="381"/>
      <c r="GB261" s="381"/>
      <c r="GC261" s="381"/>
      <c r="GD261" s="381"/>
      <c r="GE261" s="381"/>
      <c r="GF261" s="381"/>
      <c r="GG261" s="381"/>
      <c r="GH261" s="381"/>
      <c r="GI261" s="381"/>
      <c r="GJ261" s="381"/>
      <c r="GK261" s="381"/>
      <c r="GL261" s="381"/>
      <c r="GM261" s="381"/>
      <c r="GN261" s="381"/>
      <c r="GO261" s="381"/>
      <c r="GP261" s="381"/>
      <c r="GQ261" s="381"/>
      <c r="GR261" s="381"/>
      <c r="GS261" s="381"/>
      <c r="GT261" s="381"/>
      <c r="GU261" s="381"/>
      <c r="GV261" s="381"/>
      <c r="GW261" s="381"/>
      <c r="GX261" s="381"/>
      <c r="GY261" s="381"/>
      <c r="GZ261" s="381"/>
      <c r="HA261" s="381"/>
      <c r="HB261" s="381"/>
      <c r="HC261" s="381"/>
      <c r="HD261" s="381"/>
      <c r="HE261" s="381"/>
      <c r="HF261" s="381"/>
      <c r="HG261" s="381"/>
      <c r="HH261" s="381"/>
      <c r="HI261" s="381"/>
      <c r="HJ261" s="381"/>
      <c r="HK261" s="381"/>
      <c r="HL261" s="381"/>
      <c r="HM261" s="381"/>
      <c r="HN261" s="381"/>
      <c r="HO261" s="381"/>
      <c r="HP261" s="381"/>
      <c r="HQ261" s="381"/>
      <c r="HR261" s="381"/>
      <c r="HS261" s="381"/>
      <c r="HT261" s="381"/>
      <c r="HU261" s="381"/>
      <c r="HV261" s="381"/>
      <c r="HW261" s="381"/>
      <c r="HX261" s="381"/>
      <c r="HY261" s="381"/>
      <c r="HZ261" s="381"/>
      <c r="IA261" s="381"/>
      <c r="IB261" s="381"/>
      <c r="IC261" s="381"/>
      <c r="ID261" s="381"/>
      <c r="IE261" s="381"/>
      <c r="IF261" s="381"/>
      <c r="IG261" s="381"/>
      <c r="IH261" s="381"/>
      <c r="II261" s="381"/>
      <c r="IJ261" s="381"/>
      <c r="IK261" s="381"/>
      <c r="IL261" s="381"/>
      <c r="IM261" s="381"/>
      <c r="IN261" s="381"/>
    </row>
    <row r="262" spans="1:248" ht="17.25" customHeight="1" x14ac:dyDescent="0.2">
      <c r="A262" s="499" t="s">
        <v>256</v>
      </c>
      <c r="B262" s="500"/>
      <c r="C262" s="500"/>
      <c r="D262" s="500"/>
      <c r="E262" s="500"/>
      <c r="F262" s="500"/>
      <c r="G262" s="500"/>
      <c r="H262" s="500"/>
      <c r="I262" s="347"/>
      <c r="J262" s="381"/>
      <c r="K262" s="381"/>
      <c r="L262" s="381"/>
      <c r="M262" s="381"/>
      <c r="N262" s="381"/>
      <c r="O262" s="381"/>
      <c r="P262" s="381"/>
      <c r="Q262" s="381"/>
      <c r="R262" s="381"/>
      <c r="S262" s="381"/>
      <c r="T262" s="381"/>
      <c r="U262" s="381"/>
      <c r="V262" s="381"/>
      <c r="W262" s="381"/>
      <c r="X262" s="381"/>
      <c r="Y262" s="381"/>
      <c r="Z262" s="381"/>
      <c r="AA262" s="381"/>
      <c r="AB262" s="381"/>
      <c r="AC262" s="381"/>
      <c r="AD262" s="381"/>
      <c r="AE262" s="381"/>
      <c r="AF262" s="381"/>
      <c r="AG262" s="381"/>
      <c r="AH262" s="381"/>
      <c r="AI262" s="381"/>
      <c r="AJ262" s="381"/>
      <c r="AK262" s="381"/>
      <c r="AL262" s="381"/>
      <c r="AM262" s="381"/>
      <c r="AN262" s="381"/>
      <c r="AO262" s="381"/>
      <c r="AP262" s="381"/>
      <c r="AQ262" s="381"/>
      <c r="AR262" s="381"/>
      <c r="AS262" s="381"/>
      <c r="AT262" s="381"/>
      <c r="AU262" s="381"/>
      <c r="AV262" s="381"/>
      <c r="AW262" s="381"/>
      <c r="AX262" s="381"/>
      <c r="AY262" s="381"/>
      <c r="AZ262" s="381"/>
      <c r="BA262" s="381"/>
      <c r="BB262" s="381"/>
      <c r="BC262" s="381"/>
      <c r="BD262" s="381"/>
      <c r="BE262" s="381"/>
      <c r="BF262" s="381"/>
      <c r="BG262" s="381"/>
      <c r="BH262" s="381"/>
      <c r="BI262" s="381"/>
      <c r="BJ262" s="381"/>
      <c r="BK262" s="381"/>
      <c r="BL262" s="381"/>
      <c r="BM262" s="381"/>
      <c r="BN262" s="381"/>
      <c r="BO262" s="381"/>
      <c r="BP262" s="381"/>
      <c r="BQ262" s="381"/>
      <c r="BR262" s="381"/>
      <c r="BS262" s="381"/>
      <c r="BT262" s="381"/>
      <c r="BU262" s="381"/>
      <c r="BV262" s="381"/>
      <c r="BW262" s="381"/>
      <c r="BX262" s="381"/>
      <c r="BY262" s="381"/>
      <c r="BZ262" s="381"/>
      <c r="CA262" s="381"/>
      <c r="CB262" s="381"/>
      <c r="CC262" s="381"/>
      <c r="CD262" s="381"/>
      <c r="CE262" s="381"/>
      <c r="CF262" s="381"/>
      <c r="CG262" s="381"/>
      <c r="CH262" s="381"/>
      <c r="CI262" s="381"/>
      <c r="CJ262" s="381"/>
      <c r="CK262" s="381"/>
      <c r="CL262" s="381"/>
      <c r="CM262" s="381"/>
      <c r="CN262" s="381"/>
      <c r="CO262" s="381"/>
      <c r="CP262" s="381"/>
      <c r="CQ262" s="381"/>
      <c r="CR262" s="381"/>
      <c r="CS262" s="381"/>
      <c r="CT262" s="381"/>
      <c r="CU262" s="381"/>
      <c r="CV262" s="381"/>
      <c r="CW262" s="381"/>
      <c r="CX262" s="381"/>
      <c r="CY262" s="381"/>
      <c r="CZ262" s="381"/>
      <c r="DA262" s="381"/>
      <c r="DB262" s="381"/>
      <c r="DC262" s="381"/>
      <c r="DD262" s="381"/>
      <c r="DE262" s="381"/>
      <c r="DF262" s="381"/>
      <c r="DG262" s="381"/>
      <c r="DH262" s="381"/>
      <c r="DI262" s="381"/>
      <c r="DJ262" s="381"/>
      <c r="DK262" s="381"/>
      <c r="DL262" s="381"/>
      <c r="DM262" s="381"/>
      <c r="DN262" s="381"/>
      <c r="DO262" s="381"/>
      <c r="DP262" s="381"/>
      <c r="DQ262" s="381"/>
      <c r="DR262" s="381"/>
      <c r="DS262" s="381"/>
      <c r="DT262" s="381"/>
      <c r="DU262" s="381"/>
      <c r="DV262" s="381"/>
      <c r="DW262" s="381"/>
      <c r="DX262" s="381"/>
      <c r="DY262" s="381"/>
      <c r="DZ262" s="381"/>
      <c r="EA262" s="381"/>
      <c r="EB262" s="381"/>
      <c r="EC262" s="381"/>
      <c r="ED262" s="381"/>
      <c r="EE262" s="381"/>
      <c r="EF262" s="381"/>
      <c r="EG262" s="381"/>
      <c r="EH262" s="381"/>
      <c r="EI262" s="381"/>
      <c r="EJ262" s="381"/>
      <c r="EK262" s="381"/>
      <c r="EL262" s="381"/>
      <c r="EM262" s="381"/>
      <c r="EN262" s="381"/>
      <c r="EO262" s="381"/>
      <c r="EP262" s="381"/>
      <c r="EQ262" s="381"/>
      <c r="ER262" s="381"/>
      <c r="ES262" s="381"/>
      <c r="ET262" s="381"/>
      <c r="EU262" s="381"/>
      <c r="EV262" s="381"/>
      <c r="EW262" s="381"/>
      <c r="EX262" s="381"/>
      <c r="EY262" s="381"/>
      <c r="EZ262" s="381"/>
      <c r="FA262" s="381"/>
      <c r="FB262" s="381"/>
      <c r="FC262" s="381"/>
      <c r="FD262" s="381"/>
      <c r="FE262" s="381"/>
      <c r="FF262" s="381"/>
      <c r="FG262" s="381"/>
      <c r="FH262" s="381"/>
      <c r="FI262" s="381"/>
      <c r="FJ262" s="381"/>
      <c r="FK262" s="381"/>
      <c r="FL262" s="381"/>
      <c r="FM262" s="381"/>
      <c r="FN262" s="381"/>
      <c r="FO262" s="381"/>
      <c r="FP262" s="381"/>
      <c r="FQ262" s="381"/>
      <c r="FR262" s="381"/>
      <c r="FS262" s="381"/>
      <c r="FT262" s="381"/>
      <c r="FU262" s="381"/>
      <c r="FV262" s="381"/>
      <c r="FW262" s="381"/>
      <c r="FX262" s="381"/>
      <c r="FY262" s="381"/>
      <c r="FZ262" s="381"/>
      <c r="GA262" s="381"/>
      <c r="GB262" s="381"/>
      <c r="GC262" s="381"/>
      <c r="GD262" s="381"/>
      <c r="GE262" s="381"/>
      <c r="GF262" s="381"/>
      <c r="GG262" s="381"/>
      <c r="GH262" s="381"/>
      <c r="GI262" s="381"/>
      <c r="GJ262" s="381"/>
      <c r="GK262" s="381"/>
      <c r="GL262" s="381"/>
      <c r="GM262" s="381"/>
      <c r="GN262" s="381"/>
      <c r="GO262" s="381"/>
      <c r="GP262" s="381"/>
      <c r="GQ262" s="381"/>
      <c r="GR262" s="381"/>
      <c r="GS262" s="381"/>
      <c r="GT262" s="381"/>
      <c r="GU262" s="381"/>
      <c r="GV262" s="381"/>
      <c r="GW262" s="381"/>
      <c r="GX262" s="381"/>
      <c r="GY262" s="381"/>
      <c r="GZ262" s="381"/>
      <c r="HA262" s="381"/>
      <c r="HB262" s="381"/>
      <c r="HC262" s="381"/>
      <c r="HD262" s="381"/>
      <c r="HE262" s="381"/>
      <c r="HF262" s="381"/>
      <c r="HG262" s="381"/>
      <c r="HH262" s="381"/>
      <c r="HI262" s="381"/>
      <c r="HJ262" s="381"/>
      <c r="HK262" s="381"/>
      <c r="HL262" s="381"/>
      <c r="HM262" s="381"/>
      <c r="HN262" s="381"/>
      <c r="HO262" s="381"/>
      <c r="HP262" s="381"/>
      <c r="HQ262" s="381"/>
      <c r="HR262" s="381"/>
      <c r="HS262" s="381"/>
      <c r="HT262" s="381"/>
      <c r="HU262" s="381"/>
      <c r="HV262" s="381"/>
      <c r="HW262" s="381"/>
      <c r="HX262" s="381"/>
      <c r="HY262" s="381"/>
      <c r="HZ262" s="381"/>
      <c r="IA262" s="381"/>
      <c r="IB262" s="381"/>
      <c r="IC262" s="381"/>
      <c r="ID262" s="381"/>
      <c r="IE262" s="381"/>
      <c r="IF262" s="381"/>
      <c r="IG262" s="381"/>
      <c r="IH262" s="381"/>
      <c r="II262" s="381"/>
      <c r="IJ262" s="381"/>
      <c r="IK262" s="381"/>
      <c r="IL262" s="381"/>
      <c r="IM262" s="381"/>
      <c r="IN262" s="381"/>
    </row>
    <row r="263" spans="1:248" ht="16.5" customHeight="1" x14ac:dyDescent="0.2">
      <c r="A263" s="345"/>
      <c r="B263" s="346"/>
      <c r="C263" s="346"/>
      <c r="D263" s="346"/>
      <c r="E263" s="347"/>
      <c r="F263" s="347"/>
      <c r="G263" s="346"/>
      <c r="H263" s="346"/>
      <c r="I263" s="347"/>
      <c r="J263" s="381"/>
      <c r="K263" s="381"/>
      <c r="L263" s="381"/>
      <c r="M263" s="381"/>
      <c r="N263" s="381"/>
      <c r="O263" s="381"/>
      <c r="P263" s="381"/>
      <c r="Q263" s="381"/>
      <c r="R263" s="381"/>
      <c r="S263" s="381"/>
      <c r="T263" s="381"/>
      <c r="U263" s="381"/>
      <c r="V263" s="381"/>
      <c r="W263" s="381"/>
      <c r="X263" s="381"/>
      <c r="Y263" s="381"/>
      <c r="Z263" s="381"/>
      <c r="AA263" s="381"/>
      <c r="AB263" s="381"/>
      <c r="AC263" s="381"/>
      <c r="AD263" s="381"/>
      <c r="AE263" s="381"/>
      <c r="AF263" s="381"/>
      <c r="AG263" s="381"/>
      <c r="AH263" s="381"/>
      <c r="AI263" s="381"/>
      <c r="AJ263" s="381"/>
      <c r="AK263" s="381"/>
      <c r="AL263" s="381"/>
      <c r="AM263" s="381"/>
      <c r="AN263" s="381"/>
      <c r="AO263" s="381"/>
      <c r="AP263" s="381"/>
      <c r="AQ263" s="381"/>
      <c r="AR263" s="381"/>
      <c r="AS263" s="381"/>
      <c r="AT263" s="381"/>
      <c r="AU263" s="381"/>
      <c r="AV263" s="381"/>
      <c r="AW263" s="381"/>
      <c r="AX263" s="381"/>
      <c r="AY263" s="381"/>
      <c r="AZ263" s="381"/>
      <c r="BA263" s="381"/>
      <c r="BB263" s="381"/>
      <c r="BC263" s="381"/>
      <c r="BD263" s="381"/>
      <c r="BE263" s="381"/>
      <c r="BF263" s="381"/>
      <c r="BG263" s="381"/>
      <c r="BH263" s="381"/>
      <c r="BI263" s="381"/>
      <c r="BJ263" s="381"/>
      <c r="BK263" s="381"/>
      <c r="BL263" s="381"/>
      <c r="BM263" s="381"/>
      <c r="BN263" s="381"/>
      <c r="BO263" s="381"/>
      <c r="BP263" s="381"/>
      <c r="BQ263" s="381"/>
      <c r="BR263" s="381"/>
      <c r="BS263" s="381"/>
      <c r="BT263" s="381"/>
      <c r="BU263" s="381"/>
      <c r="BV263" s="381"/>
      <c r="BW263" s="381"/>
      <c r="BX263" s="381"/>
      <c r="BY263" s="381"/>
      <c r="BZ263" s="381"/>
      <c r="CA263" s="381"/>
      <c r="CB263" s="381"/>
      <c r="CC263" s="381"/>
      <c r="CD263" s="381"/>
      <c r="CE263" s="381"/>
      <c r="CF263" s="381"/>
      <c r="CG263" s="381"/>
      <c r="CH263" s="381"/>
      <c r="CI263" s="381"/>
      <c r="CJ263" s="381"/>
      <c r="CK263" s="381"/>
      <c r="CL263" s="381"/>
      <c r="CM263" s="381"/>
      <c r="CN263" s="381"/>
      <c r="CO263" s="381"/>
      <c r="CP263" s="381"/>
      <c r="CQ263" s="381"/>
      <c r="CR263" s="381"/>
      <c r="CS263" s="381"/>
      <c r="CT263" s="381"/>
      <c r="CU263" s="381"/>
      <c r="CV263" s="381"/>
      <c r="CW263" s="381"/>
      <c r="CX263" s="381"/>
      <c r="CY263" s="381"/>
      <c r="CZ263" s="381"/>
      <c r="DA263" s="381"/>
      <c r="DB263" s="381"/>
      <c r="DC263" s="381"/>
      <c r="DD263" s="381"/>
      <c r="DE263" s="381"/>
      <c r="DF263" s="381"/>
      <c r="DG263" s="381"/>
      <c r="DH263" s="381"/>
      <c r="DI263" s="381"/>
      <c r="DJ263" s="381"/>
      <c r="DK263" s="381"/>
      <c r="DL263" s="381"/>
      <c r="DM263" s="381"/>
      <c r="DN263" s="381"/>
      <c r="DO263" s="381"/>
      <c r="DP263" s="381"/>
      <c r="DQ263" s="381"/>
      <c r="DR263" s="381"/>
      <c r="DS263" s="381"/>
      <c r="DT263" s="381"/>
      <c r="DU263" s="381"/>
      <c r="DV263" s="381"/>
      <c r="DW263" s="381"/>
      <c r="DX263" s="381"/>
      <c r="DY263" s="381"/>
      <c r="DZ263" s="381"/>
      <c r="EA263" s="381"/>
      <c r="EB263" s="381"/>
      <c r="EC263" s="381"/>
      <c r="ED263" s="381"/>
      <c r="EE263" s="381"/>
      <c r="EF263" s="381"/>
      <c r="EG263" s="381"/>
      <c r="EH263" s="381"/>
      <c r="EI263" s="381"/>
      <c r="EJ263" s="381"/>
      <c r="EK263" s="381"/>
      <c r="EL263" s="381"/>
      <c r="EM263" s="381"/>
      <c r="EN263" s="381"/>
      <c r="EO263" s="381"/>
      <c r="EP263" s="381"/>
      <c r="EQ263" s="381"/>
      <c r="ER263" s="381"/>
      <c r="ES263" s="381"/>
      <c r="ET263" s="381"/>
      <c r="EU263" s="381"/>
      <c r="EV263" s="381"/>
      <c r="EW263" s="381"/>
      <c r="EX263" s="381"/>
      <c r="EY263" s="381"/>
      <c r="EZ263" s="381"/>
      <c r="FA263" s="381"/>
      <c r="FB263" s="381"/>
      <c r="FC263" s="381"/>
      <c r="FD263" s="381"/>
      <c r="FE263" s="381"/>
      <c r="FF263" s="381"/>
      <c r="FG263" s="381"/>
      <c r="FH263" s="381"/>
      <c r="FI263" s="381"/>
      <c r="FJ263" s="381"/>
      <c r="FK263" s="381"/>
      <c r="FL263" s="381"/>
      <c r="FM263" s="381"/>
      <c r="FN263" s="381"/>
      <c r="FO263" s="381"/>
      <c r="FP263" s="381"/>
      <c r="FQ263" s="381"/>
      <c r="FR263" s="381"/>
      <c r="FS263" s="381"/>
      <c r="FT263" s="381"/>
      <c r="FU263" s="381"/>
      <c r="FV263" s="381"/>
      <c r="FW263" s="381"/>
      <c r="FX263" s="381"/>
      <c r="FY263" s="381"/>
      <c r="FZ263" s="381"/>
      <c r="GA263" s="381"/>
      <c r="GB263" s="381"/>
      <c r="GC263" s="381"/>
      <c r="GD263" s="381"/>
      <c r="GE263" s="381"/>
      <c r="GF263" s="381"/>
      <c r="GG263" s="381"/>
      <c r="GH263" s="381"/>
      <c r="GI263" s="381"/>
      <c r="GJ263" s="381"/>
      <c r="GK263" s="381"/>
      <c r="GL263" s="381"/>
      <c r="GM263" s="381"/>
      <c r="GN263" s="381"/>
      <c r="GO263" s="381"/>
      <c r="GP263" s="381"/>
      <c r="GQ263" s="381"/>
      <c r="GR263" s="381"/>
      <c r="GS263" s="381"/>
      <c r="GT263" s="381"/>
      <c r="GU263" s="381"/>
      <c r="GV263" s="381"/>
      <c r="GW263" s="381"/>
      <c r="GX263" s="381"/>
      <c r="GY263" s="381"/>
      <c r="GZ263" s="381"/>
      <c r="HA263" s="381"/>
      <c r="HB263" s="381"/>
      <c r="HC263" s="381"/>
      <c r="HD263" s="381"/>
      <c r="HE263" s="381"/>
      <c r="HF263" s="381"/>
      <c r="HG263" s="381"/>
      <c r="HH263" s="381"/>
      <c r="HI263" s="381"/>
      <c r="HJ263" s="381"/>
      <c r="HK263" s="381"/>
      <c r="HL263" s="381"/>
      <c r="HM263" s="381"/>
      <c r="HN263" s="381"/>
      <c r="HO263" s="381"/>
      <c r="HP263" s="381"/>
      <c r="HQ263" s="381"/>
      <c r="HR263" s="381"/>
      <c r="HS263" s="381"/>
      <c r="HT263" s="381"/>
      <c r="HU263" s="381"/>
      <c r="HV263" s="381"/>
      <c r="HW263" s="381"/>
      <c r="HX263" s="381"/>
      <c r="HY263" s="381"/>
      <c r="HZ263" s="381"/>
      <c r="IA263" s="381"/>
      <c r="IB263" s="381"/>
      <c r="IC263" s="381"/>
      <c r="ID263" s="381"/>
      <c r="IE263" s="381"/>
      <c r="IF263" s="381"/>
      <c r="IG263" s="381"/>
      <c r="IH263" s="381"/>
      <c r="II263" s="381"/>
      <c r="IJ263" s="381"/>
      <c r="IK263" s="381"/>
      <c r="IL263" s="381"/>
      <c r="IM263" s="381"/>
      <c r="IN263" s="381"/>
    </row>
    <row r="264" spans="1:248" ht="16.5" customHeight="1" x14ac:dyDescent="0.2">
      <c r="A264" s="377"/>
      <c r="B264" s="355"/>
      <c r="C264" s="355"/>
      <c r="D264" s="355"/>
      <c r="E264" s="355"/>
      <c r="F264" s="355"/>
      <c r="G264" s="355"/>
      <c r="H264" s="501" t="s">
        <v>311</v>
      </c>
      <c r="I264" s="501"/>
    </row>
    <row r="265" spans="1:248" ht="15.75" customHeight="1" thickBot="1" x14ac:dyDescent="0.25">
      <c r="A265" s="377"/>
      <c r="B265" s="355"/>
      <c r="C265" s="355"/>
      <c r="D265" s="355"/>
      <c r="E265" s="355"/>
      <c r="F265" s="355"/>
      <c r="G265" s="355"/>
      <c r="H265" s="355"/>
      <c r="I265" s="374" t="s">
        <v>258</v>
      </c>
    </row>
    <row r="266" spans="1:248" ht="21.95" customHeight="1" thickBot="1" x14ac:dyDescent="0.25">
      <c r="A266" s="502" t="s">
        <v>302</v>
      </c>
      <c r="B266" s="504" t="s">
        <v>110</v>
      </c>
      <c r="C266" s="505"/>
      <c r="D266" s="505"/>
      <c r="E266" s="506"/>
      <c r="F266" s="504" t="s">
        <v>312</v>
      </c>
      <c r="G266" s="505"/>
      <c r="H266" s="505"/>
      <c r="I266" s="506"/>
    </row>
    <row r="267" spans="1:248" ht="39" thickBot="1" x14ac:dyDescent="0.25">
      <c r="A267" s="503"/>
      <c r="B267" s="272" t="s">
        <v>228</v>
      </c>
      <c r="C267" s="272" t="s">
        <v>244</v>
      </c>
      <c r="D267" s="273" t="s">
        <v>245</v>
      </c>
      <c r="E267" s="375" t="s">
        <v>223</v>
      </c>
      <c r="F267" s="272" t="s">
        <v>228</v>
      </c>
      <c r="G267" s="272" t="s">
        <v>244</v>
      </c>
      <c r="H267" s="273" t="s">
        <v>245</v>
      </c>
      <c r="I267" s="375" t="s">
        <v>223</v>
      </c>
    </row>
    <row r="268" spans="1:248" ht="24.95" customHeight="1" thickBot="1" x14ac:dyDescent="0.25">
      <c r="A268" s="274" t="s">
        <v>262</v>
      </c>
      <c r="B268" s="275">
        <f>SUM(B269:B273)</f>
        <v>158570</v>
      </c>
      <c r="C268" s="276">
        <f>SUM(C269:C273)</f>
        <v>159810</v>
      </c>
      <c r="D268" s="276">
        <f>SUM(D269:D273)</f>
        <v>53456.04</v>
      </c>
      <c r="E268" s="277">
        <f t="shared" ref="E268:E291" si="46">D268/C268*100</f>
        <v>33.449746574056697</v>
      </c>
      <c r="F268" s="339">
        <f>SUM(F269:F273)</f>
        <v>1120719</v>
      </c>
      <c r="G268" s="344">
        <f>SUM(G269:G273)</f>
        <v>1122239</v>
      </c>
      <c r="H268" s="344">
        <f>SUM(H269:H273)</f>
        <v>422619.02999999997</v>
      </c>
      <c r="I268" s="277">
        <f>H268/G268*100</f>
        <v>37.658558471056516</v>
      </c>
    </row>
    <row r="269" spans="1:248" ht="21.75" customHeight="1" x14ac:dyDescent="0.2">
      <c r="A269" s="283" t="s">
        <v>263</v>
      </c>
      <c r="B269" s="279">
        <v>70460</v>
      </c>
      <c r="C269" s="281">
        <v>70460</v>
      </c>
      <c r="D269" s="280">
        <v>18297.419999999998</v>
      </c>
      <c r="E269" s="282">
        <f t="shared" si="46"/>
        <v>25.968521146749929</v>
      </c>
      <c r="F269" s="279">
        <f t="shared" ref="F269:H273" si="47">B11+F11+B66+F66+B117+F117+B170+F170+B221+F221+B269</f>
        <v>469400</v>
      </c>
      <c r="G269" s="366">
        <f t="shared" si="47"/>
        <v>469400</v>
      </c>
      <c r="H269" s="382">
        <f t="shared" si="47"/>
        <v>150859.27000000002</v>
      </c>
      <c r="I269" s="282">
        <f>H269/G269*100</f>
        <v>32.138745206646782</v>
      </c>
      <c r="J269" s="381"/>
      <c r="K269" s="381"/>
      <c r="L269" s="381"/>
      <c r="M269" s="381"/>
      <c r="N269" s="381"/>
      <c r="O269" s="381"/>
      <c r="P269" s="381"/>
      <c r="Q269" s="381"/>
      <c r="R269" s="381"/>
      <c r="S269" s="381"/>
      <c r="T269" s="381"/>
      <c r="U269" s="381"/>
      <c r="V269" s="381"/>
      <c r="W269" s="381"/>
      <c r="X269" s="381"/>
      <c r="Y269" s="381"/>
      <c r="Z269" s="381"/>
      <c r="AA269" s="381"/>
      <c r="AB269" s="381"/>
      <c r="AC269" s="381"/>
      <c r="AD269" s="381"/>
      <c r="AE269" s="381"/>
      <c r="AF269" s="381"/>
      <c r="AG269" s="381"/>
      <c r="AH269" s="381"/>
      <c r="AI269" s="381"/>
      <c r="AJ269" s="381"/>
      <c r="AK269" s="381"/>
      <c r="AL269" s="381"/>
      <c r="AM269" s="381"/>
      <c r="AN269" s="381"/>
      <c r="AO269" s="381"/>
      <c r="AP269" s="381"/>
      <c r="AQ269" s="381"/>
      <c r="AR269" s="381"/>
      <c r="AS269" s="381"/>
      <c r="AT269" s="381"/>
      <c r="AU269" s="381"/>
      <c r="AV269" s="381"/>
      <c r="AW269" s="381"/>
      <c r="AX269" s="381"/>
      <c r="AY269" s="381"/>
      <c r="AZ269" s="381"/>
      <c r="BA269" s="381"/>
      <c r="BB269" s="381"/>
      <c r="BC269" s="381"/>
      <c r="BD269" s="381"/>
      <c r="BE269" s="381"/>
      <c r="BF269" s="381"/>
      <c r="BG269" s="381"/>
      <c r="BH269" s="381"/>
      <c r="BI269" s="381"/>
      <c r="BJ269" s="381"/>
      <c r="BK269" s="381"/>
      <c r="BL269" s="381"/>
      <c r="BM269" s="381"/>
      <c r="BN269" s="381"/>
      <c r="BO269" s="381"/>
      <c r="BP269" s="381"/>
      <c r="BQ269" s="381"/>
      <c r="BR269" s="381"/>
      <c r="BS269" s="381"/>
      <c r="BT269" s="381"/>
      <c r="BU269" s="381"/>
      <c r="BV269" s="381"/>
      <c r="BW269" s="381"/>
      <c r="BX269" s="381"/>
      <c r="BY269" s="381"/>
      <c r="BZ269" s="381"/>
      <c r="CA269" s="381"/>
      <c r="CB269" s="381"/>
      <c r="CC269" s="381"/>
      <c r="CD269" s="381"/>
      <c r="CE269" s="381"/>
      <c r="CF269" s="381"/>
      <c r="CG269" s="381"/>
      <c r="CH269" s="381"/>
      <c r="CI269" s="381"/>
      <c r="CJ269" s="381"/>
      <c r="CK269" s="381"/>
      <c r="CL269" s="381"/>
      <c r="CM269" s="381"/>
      <c r="CN269" s="381"/>
      <c r="CO269" s="381"/>
      <c r="CP269" s="381"/>
      <c r="CQ269" s="381"/>
      <c r="CR269" s="381"/>
      <c r="CS269" s="381"/>
      <c r="CT269" s="381"/>
      <c r="CU269" s="381"/>
      <c r="CV269" s="381"/>
      <c r="CW269" s="381"/>
      <c r="CX269" s="381"/>
      <c r="CY269" s="381"/>
      <c r="CZ269" s="381"/>
      <c r="DA269" s="381"/>
      <c r="DB269" s="381"/>
      <c r="DC269" s="381"/>
      <c r="DD269" s="381"/>
      <c r="DE269" s="381"/>
      <c r="DF269" s="381"/>
      <c r="DG269" s="381"/>
      <c r="DH269" s="381"/>
      <c r="DI269" s="381"/>
      <c r="DJ269" s="381"/>
      <c r="DK269" s="381"/>
      <c r="DL269" s="381"/>
      <c r="DM269" s="381"/>
      <c r="DN269" s="381"/>
      <c r="DO269" s="381"/>
      <c r="DP269" s="381"/>
      <c r="DQ269" s="381"/>
      <c r="DR269" s="381"/>
      <c r="DS269" s="381"/>
      <c r="DT269" s="381"/>
      <c r="DU269" s="381"/>
      <c r="DV269" s="381"/>
      <c r="DW269" s="381"/>
      <c r="DX269" s="381"/>
      <c r="DY269" s="381"/>
      <c r="DZ269" s="381"/>
      <c r="EA269" s="381"/>
      <c r="EB269" s="381"/>
      <c r="EC269" s="381"/>
      <c r="ED269" s="381"/>
      <c r="EE269" s="381"/>
      <c r="EF269" s="381"/>
      <c r="EG269" s="381"/>
      <c r="EH269" s="381"/>
      <c r="EI269" s="381"/>
      <c r="EJ269" s="381"/>
      <c r="EK269" s="381"/>
      <c r="EL269" s="381"/>
      <c r="EM269" s="381"/>
      <c r="EN269" s="381"/>
      <c r="EO269" s="381"/>
      <c r="EP269" s="381"/>
      <c r="EQ269" s="381"/>
      <c r="ER269" s="381"/>
      <c r="ES269" s="381"/>
      <c r="ET269" s="381"/>
      <c r="EU269" s="381"/>
      <c r="EV269" s="381"/>
      <c r="EW269" s="381"/>
      <c r="EX269" s="381"/>
      <c r="EY269" s="381"/>
      <c r="EZ269" s="381"/>
      <c r="FA269" s="381"/>
      <c r="FB269" s="381"/>
      <c r="FC269" s="381"/>
      <c r="FD269" s="381"/>
      <c r="FE269" s="381"/>
      <c r="FF269" s="381"/>
      <c r="FG269" s="381"/>
      <c r="FH269" s="381"/>
      <c r="FI269" s="381"/>
      <c r="FJ269" s="381"/>
      <c r="FK269" s="381"/>
      <c r="FL269" s="381"/>
      <c r="FM269" s="381"/>
      <c r="FN269" s="381"/>
      <c r="FO269" s="381"/>
      <c r="FP269" s="381"/>
      <c r="FQ269" s="381"/>
      <c r="FR269" s="381"/>
      <c r="FS269" s="381"/>
      <c r="FT269" s="381"/>
      <c r="FU269" s="381"/>
      <c r="FV269" s="381"/>
      <c r="FW269" s="381"/>
      <c r="FX269" s="381"/>
      <c r="FY269" s="381"/>
      <c r="FZ269" s="381"/>
      <c r="GA269" s="381"/>
      <c r="GB269" s="381"/>
      <c r="GC269" s="381"/>
      <c r="GD269" s="381"/>
      <c r="GE269" s="381"/>
      <c r="GF269" s="381"/>
      <c r="GG269" s="381"/>
      <c r="GH269" s="381"/>
      <c r="GI269" s="381"/>
      <c r="GJ269" s="381"/>
      <c r="GK269" s="381"/>
      <c r="GL269" s="381"/>
      <c r="GM269" s="381"/>
      <c r="GN269" s="381"/>
      <c r="GO269" s="381"/>
      <c r="GP269" s="381"/>
      <c r="GQ269" s="381"/>
      <c r="GR269" s="381"/>
      <c r="GS269" s="381"/>
      <c r="GT269" s="381"/>
      <c r="GU269" s="381"/>
      <c r="GV269" s="381"/>
      <c r="GW269" s="381"/>
      <c r="GX269" s="381"/>
      <c r="GY269" s="381"/>
      <c r="GZ269" s="381"/>
      <c r="HA269" s="381"/>
      <c r="HB269" s="381"/>
      <c r="HC269" s="381"/>
      <c r="HD269" s="381"/>
      <c r="HE269" s="381"/>
      <c r="HF269" s="381"/>
      <c r="HG269" s="381"/>
      <c r="HH269" s="381"/>
      <c r="HI269" s="381"/>
      <c r="HJ269" s="381"/>
      <c r="HK269" s="381"/>
      <c r="HL269" s="381"/>
      <c r="HM269" s="381"/>
      <c r="HN269" s="381"/>
      <c r="HO269" s="381"/>
      <c r="HP269" s="381"/>
      <c r="HQ269" s="381"/>
      <c r="HR269" s="381"/>
      <c r="HS269" s="381"/>
      <c r="HT269" s="381"/>
      <c r="HU269" s="381"/>
      <c r="HV269" s="381"/>
      <c r="HW269" s="381"/>
      <c r="HX269" s="381"/>
      <c r="HY269" s="381"/>
      <c r="HZ269" s="381"/>
      <c r="IA269" s="381"/>
      <c r="IB269" s="381"/>
      <c r="IC269" s="381"/>
      <c r="ID269" s="381"/>
      <c r="IE269" s="381"/>
      <c r="IF269" s="381"/>
      <c r="IG269" s="381"/>
      <c r="IH269" s="381"/>
      <c r="II269" s="381"/>
      <c r="IJ269" s="381"/>
      <c r="IK269" s="381"/>
      <c r="IL269" s="381"/>
      <c r="IM269" s="381"/>
      <c r="IN269" s="381"/>
    </row>
    <row r="270" spans="1:248" ht="20.25" customHeight="1" x14ac:dyDescent="0.2">
      <c r="A270" s="283" t="s">
        <v>264</v>
      </c>
      <c r="B270" s="284">
        <v>51720</v>
      </c>
      <c r="C270" s="286">
        <v>51720</v>
      </c>
      <c r="D270" s="285">
        <f>9760.73</f>
        <v>9760.73</v>
      </c>
      <c r="E270" s="287">
        <f t="shared" si="46"/>
        <v>18.872254447022428</v>
      </c>
      <c r="F270" s="284">
        <f t="shared" si="47"/>
        <v>352732</v>
      </c>
      <c r="G270" s="383">
        <f t="shared" si="47"/>
        <v>352732</v>
      </c>
      <c r="H270" s="384">
        <f t="shared" si="47"/>
        <v>83336.019999999975</v>
      </c>
      <c r="I270" s="287">
        <f>H270/G270*100</f>
        <v>23.625874601680589</v>
      </c>
    </row>
    <row r="271" spans="1:248" ht="19.5" customHeight="1" x14ac:dyDescent="0.2">
      <c r="A271" s="288" t="s">
        <v>265</v>
      </c>
      <c r="B271" s="284">
        <v>12800</v>
      </c>
      <c r="C271" s="286">
        <v>12800</v>
      </c>
      <c r="D271" s="285">
        <f>6431.3+15422.26-6677.02</f>
        <v>15176.54</v>
      </c>
      <c r="E271" s="348">
        <f t="shared" si="46"/>
        <v>118.56671875000001</v>
      </c>
      <c r="F271" s="284">
        <f t="shared" si="47"/>
        <v>108120</v>
      </c>
      <c r="G271" s="383">
        <f t="shared" si="47"/>
        <v>108120</v>
      </c>
      <c r="H271" s="384">
        <f t="shared" si="47"/>
        <v>62513.53</v>
      </c>
      <c r="I271" s="287">
        <f>H271/G271*100</f>
        <v>57.818655197928223</v>
      </c>
    </row>
    <row r="272" spans="1:248" ht="19.5" customHeight="1" x14ac:dyDescent="0.2">
      <c r="A272" s="283" t="s">
        <v>266</v>
      </c>
      <c r="B272" s="284">
        <v>23540</v>
      </c>
      <c r="C272" s="286">
        <v>23540</v>
      </c>
      <c r="D272" s="285">
        <f>2759.52+6171.22</f>
        <v>8930.74</v>
      </c>
      <c r="E272" s="348">
        <f t="shared" si="46"/>
        <v>37.938572642310959</v>
      </c>
      <c r="F272" s="284">
        <f t="shared" si="47"/>
        <v>186371</v>
      </c>
      <c r="G272" s="383">
        <f t="shared" si="47"/>
        <v>186371</v>
      </c>
      <c r="H272" s="384">
        <f t="shared" si="47"/>
        <v>89650.96</v>
      </c>
      <c r="I272" s="287">
        <f t="shared" ref="I272:I306" si="48">H272/G272*100</f>
        <v>48.10349249615016</v>
      </c>
    </row>
    <row r="273" spans="1:9" ht="20.25" customHeight="1" thickBot="1" x14ac:dyDescent="0.25">
      <c r="A273" s="418" t="s">
        <v>267</v>
      </c>
      <c r="B273" s="289">
        <v>50</v>
      </c>
      <c r="C273" s="291">
        <v>1290</v>
      </c>
      <c r="D273" s="290">
        <f>8.61+42+250+200+440+350</f>
        <v>1290.6100000000001</v>
      </c>
      <c r="E273" s="349">
        <f t="shared" si="46"/>
        <v>100.04728682170543</v>
      </c>
      <c r="F273" s="289">
        <f t="shared" si="47"/>
        <v>4096</v>
      </c>
      <c r="G273" s="367">
        <f t="shared" si="47"/>
        <v>5616</v>
      </c>
      <c r="H273" s="385">
        <f t="shared" si="47"/>
        <v>36259.250000000007</v>
      </c>
      <c r="I273" s="292">
        <f t="shared" si="48"/>
        <v>645.64191595441605</v>
      </c>
    </row>
    <row r="274" spans="1:9" ht="24.95" customHeight="1" thickBot="1" x14ac:dyDescent="0.25">
      <c r="A274" s="293" t="s">
        <v>268</v>
      </c>
      <c r="B274" s="275">
        <f>B278+B289+B290</f>
        <v>1175613</v>
      </c>
      <c r="C274" s="276">
        <f>C278+C289+C290</f>
        <v>1285013</v>
      </c>
      <c r="D274" s="276">
        <f>D278+D289+D290</f>
        <v>532206.75</v>
      </c>
      <c r="E274" s="359">
        <f t="shared" si="46"/>
        <v>41.416448705188195</v>
      </c>
      <c r="F274" s="339">
        <f>F278+F289+F290</f>
        <v>9872452</v>
      </c>
      <c r="G274" s="344">
        <f>G278+G289+G290</f>
        <v>10779692</v>
      </c>
      <c r="H274" s="344">
        <f>H278+H289+H290</f>
        <v>4616461.33</v>
      </c>
      <c r="I274" s="350">
        <f t="shared" si="48"/>
        <v>42.825540191686365</v>
      </c>
    </row>
    <row r="275" spans="1:9" ht="20.25" customHeight="1" x14ac:dyDescent="0.2">
      <c r="A275" s="419" t="s">
        <v>269</v>
      </c>
      <c r="B275" s="279">
        <v>1018758</v>
      </c>
      <c r="C275" s="281">
        <v>1083553</v>
      </c>
      <c r="D275" s="280">
        <v>424781.23</v>
      </c>
      <c r="E275" s="360">
        <f t="shared" si="46"/>
        <v>39.202625990606826</v>
      </c>
      <c r="F275" s="279">
        <f t="shared" ref="F275:H277" si="49">B17+F17+B72+F72+B123+F123+B176+F176+B227+F227+B275</f>
        <v>8564290</v>
      </c>
      <c r="G275" s="366">
        <f t="shared" si="49"/>
        <v>9108504</v>
      </c>
      <c r="H275" s="382">
        <f t="shared" si="49"/>
        <v>3712969.98</v>
      </c>
      <c r="I275" s="282">
        <f t="shared" si="48"/>
        <v>40.763773941362928</v>
      </c>
    </row>
    <row r="276" spans="1:9" ht="19.5" customHeight="1" x14ac:dyDescent="0.2">
      <c r="A276" s="299" t="s">
        <v>270</v>
      </c>
      <c r="B276" s="284">
        <v>156855</v>
      </c>
      <c r="C276" s="286">
        <v>164000</v>
      </c>
      <c r="D276" s="285">
        <v>90493.59</v>
      </c>
      <c r="E276" s="287">
        <f t="shared" si="46"/>
        <v>55.179018292682926</v>
      </c>
      <c r="F276" s="284">
        <f t="shared" si="49"/>
        <v>1308162</v>
      </c>
      <c r="G276" s="383">
        <f t="shared" si="49"/>
        <v>1312427</v>
      </c>
      <c r="H276" s="384">
        <f t="shared" si="49"/>
        <v>567094.49000000011</v>
      </c>
      <c r="I276" s="287">
        <f t="shared" si="48"/>
        <v>43.209602515035129</v>
      </c>
    </row>
    <row r="277" spans="1:9" ht="21" customHeight="1" thickBot="1" x14ac:dyDescent="0.25">
      <c r="A277" s="299" t="s">
        <v>271</v>
      </c>
      <c r="B277" s="284"/>
      <c r="C277" s="291"/>
      <c r="D277" s="290">
        <v>81.93</v>
      </c>
      <c r="E277" s="292"/>
      <c r="F277" s="289">
        <f t="shared" si="49"/>
        <v>0</v>
      </c>
      <c r="G277" s="367">
        <f t="shared" si="49"/>
        <v>0</v>
      </c>
      <c r="H277" s="385">
        <f t="shared" si="49"/>
        <v>170536.1</v>
      </c>
      <c r="I277" s="292"/>
    </row>
    <row r="278" spans="1:9" ht="24.95" customHeight="1" thickBot="1" x14ac:dyDescent="0.25">
      <c r="A278" s="300" t="s">
        <v>272</v>
      </c>
      <c r="B278" s="301">
        <f>SUM(B275:B277)</f>
        <v>1175613</v>
      </c>
      <c r="C278" s="302">
        <f>SUM(C275:C277)</f>
        <v>1247553</v>
      </c>
      <c r="D278" s="303">
        <f>SUM(D275:D277)</f>
        <v>515356.74999999994</v>
      </c>
      <c r="E278" s="317">
        <f t="shared" si="46"/>
        <v>41.309407295722103</v>
      </c>
      <c r="F278" s="428">
        <f>SUM(F275:F277)</f>
        <v>9872452</v>
      </c>
      <c r="G278" s="386">
        <f>SUM(G275:G277)</f>
        <v>10420931</v>
      </c>
      <c r="H278" s="387">
        <f>SUM(H275:H277)</f>
        <v>4450600.5699999994</v>
      </c>
      <c r="I278" s="317">
        <f t="shared" si="48"/>
        <v>42.708281726459937</v>
      </c>
    </row>
    <row r="279" spans="1:9" ht="18" customHeight="1" x14ac:dyDescent="0.2">
      <c r="A279" s="305" t="s">
        <v>273</v>
      </c>
      <c r="B279" s="279">
        <v>0</v>
      </c>
      <c r="C279" s="281">
        <v>8864</v>
      </c>
      <c r="D279" s="280">
        <v>1970</v>
      </c>
      <c r="E279" s="282">
        <f t="shared" si="46"/>
        <v>22.224729241877256</v>
      </c>
      <c r="F279" s="279">
        <f t="shared" ref="F279:F288" si="50">B21+F21+B76+F76+B127+F127+B180+F180+B231+F231+B279</f>
        <v>0</v>
      </c>
      <c r="G279" s="366">
        <f t="shared" ref="G279:G288" si="51">C21+G21+C76+G76+C127+G127+C180+G180+C231+G231+C279</f>
        <v>134464</v>
      </c>
      <c r="H279" s="382">
        <f>D21+H21+D76+H76+D127+H127+D180+H180+D231+H231+D279-1</f>
        <v>44485.65</v>
      </c>
      <c r="I279" s="282">
        <f t="shared" si="48"/>
        <v>33.083687827225134</v>
      </c>
    </row>
    <row r="280" spans="1:9" ht="18" customHeight="1" x14ac:dyDescent="0.2">
      <c r="A280" s="307" t="s">
        <v>274</v>
      </c>
      <c r="B280" s="284">
        <v>0</v>
      </c>
      <c r="C280" s="286">
        <v>0</v>
      </c>
      <c r="D280" s="285">
        <v>0</v>
      </c>
      <c r="E280" s="287"/>
      <c r="F280" s="284">
        <f t="shared" si="50"/>
        <v>0</v>
      </c>
      <c r="G280" s="383">
        <f t="shared" si="51"/>
        <v>0</v>
      </c>
      <c r="H280" s="384">
        <f t="shared" ref="H280:H288" si="52">D22+H22+D77+H77+D128+H128+D181+H181+D232+H232+D280</f>
        <v>0</v>
      </c>
      <c r="I280" s="287"/>
    </row>
    <row r="281" spans="1:9" ht="18" customHeight="1" x14ac:dyDescent="0.2">
      <c r="A281" s="307" t="s">
        <v>275</v>
      </c>
      <c r="B281" s="284">
        <v>0</v>
      </c>
      <c r="C281" s="286">
        <v>16256</v>
      </c>
      <c r="D281" s="285">
        <v>10160</v>
      </c>
      <c r="E281" s="287">
        <f t="shared" si="46"/>
        <v>62.5</v>
      </c>
      <c r="F281" s="284">
        <f t="shared" si="50"/>
        <v>0</v>
      </c>
      <c r="G281" s="383">
        <f t="shared" si="51"/>
        <v>123627</v>
      </c>
      <c r="H281" s="384">
        <f t="shared" si="52"/>
        <v>81376.789999999994</v>
      </c>
      <c r="I281" s="287">
        <f t="shared" si="48"/>
        <v>65.824447733909253</v>
      </c>
    </row>
    <row r="282" spans="1:9" ht="18" customHeight="1" x14ac:dyDescent="0.2">
      <c r="A282" s="307" t="s">
        <v>276</v>
      </c>
      <c r="B282" s="284">
        <v>0</v>
      </c>
      <c r="C282" s="286">
        <v>0</v>
      </c>
      <c r="D282" s="285">
        <v>0</v>
      </c>
      <c r="E282" s="287"/>
      <c r="F282" s="284">
        <f t="shared" si="50"/>
        <v>0</v>
      </c>
      <c r="G282" s="383">
        <f t="shared" si="51"/>
        <v>0</v>
      </c>
      <c r="H282" s="384">
        <f t="shared" si="52"/>
        <v>0</v>
      </c>
      <c r="I282" s="287"/>
    </row>
    <row r="283" spans="1:9" ht="18" customHeight="1" x14ac:dyDescent="0.2">
      <c r="A283" s="309" t="s">
        <v>277</v>
      </c>
      <c r="B283" s="284">
        <v>0</v>
      </c>
      <c r="C283" s="286">
        <v>0</v>
      </c>
      <c r="D283" s="285">
        <v>0</v>
      </c>
      <c r="E283" s="287"/>
      <c r="F283" s="284">
        <f t="shared" si="50"/>
        <v>0</v>
      </c>
      <c r="G283" s="383">
        <f t="shared" si="51"/>
        <v>300</v>
      </c>
      <c r="H283" s="384">
        <f t="shared" si="52"/>
        <v>0</v>
      </c>
      <c r="I283" s="287">
        <f t="shared" si="48"/>
        <v>0</v>
      </c>
    </row>
    <row r="284" spans="1:9" ht="18" customHeight="1" x14ac:dyDescent="0.2">
      <c r="A284" s="309" t="s">
        <v>278</v>
      </c>
      <c r="B284" s="284">
        <v>0</v>
      </c>
      <c r="C284" s="286">
        <v>0</v>
      </c>
      <c r="D284" s="285">
        <v>0</v>
      </c>
      <c r="E284" s="287"/>
      <c r="F284" s="284">
        <f t="shared" si="50"/>
        <v>0</v>
      </c>
      <c r="G284" s="383">
        <f t="shared" si="51"/>
        <v>0</v>
      </c>
      <c r="H284" s="384">
        <f t="shared" si="52"/>
        <v>0</v>
      </c>
      <c r="I284" s="287"/>
    </row>
    <row r="285" spans="1:9" ht="18" customHeight="1" x14ac:dyDescent="0.2">
      <c r="A285" s="309" t="s">
        <v>279</v>
      </c>
      <c r="B285" s="284">
        <v>0</v>
      </c>
      <c r="C285" s="286">
        <v>3900</v>
      </c>
      <c r="D285" s="285">
        <v>3900</v>
      </c>
      <c r="E285" s="287">
        <f t="shared" si="46"/>
        <v>100</v>
      </c>
      <c r="F285" s="284">
        <f t="shared" si="50"/>
        <v>0</v>
      </c>
      <c r="G285" s="383">
        <f t="shared" si="51"/>
        <v>27150</v>
      </c>
      <c r="H285" s="384">
        <f t="shared" si="52"/>
        <v>27150</v>
      </c>
      <c r="I285" s="287">
        <f t="shared" si="48"/>
        <v>100</v>
      </c>
    </row>
    <row r="286" spans="1:9" ht="18" customHeight="1" x14ac:dyDescent="0.2">
      <c r="A286" s="309" t="s">
        <v>280</v>
      </c>
      <c r="B286" s="284">
        <v>0</v>
      </c>
      <c r="C286" s="286">
        <v>7200</v>
      </c>
      <c r="D286" s="285">
        <v>0</v>
      </c>
      <c r="E286" s="287">
        <f t="shared" si="46"/>
        <v>0</v>
      </c>
      <c r="F286" s="284">
        <f t="shared" si="50"/>
        <v>0</v>
      </c>
      <c r="G286" s="383">
        <f t="shared" si="51"/>
        <v>71700</v>
      </c>
      <c r="H286" s="384">
        <f t="shared" si="52"/>
        <v>0</v>
      </c>
      <c r="I286" s="287">
        <f t="shared" si="48"/>
        <v>0</v>
      </c>
    </row>
    <row r="287" spans="1:9" ht="18" customHeight="1" x14ac:dyDescent="0.2">
      <c r="A287" s="309" t="s">
        <v>281</v>
      </c>
      <c r="B287" s="284">
        <v>0</v>
      </c>
      <c r="C287" s="286">
        <v>0</v>
      </c>
      <c r="D287" s="285">
        <v>0</v>
      </c>
      <c r="E287" s="287"/>
      <c r="F287" s="284">
        <f t="shared" si="50"/>
        <v>0</v>
      </c>
      <c r="G287" s="383">
        <f t="shared" si="51"/>
        <v>0</v>
      </c>
      <c r="H287" s="384">
        <f t="shared" si="52"/>
        <v>0</v>
      </c>
      <c r="I287" s="287"/>
    </row>
    <row r="288" spans="1:9" ht="18" customHeight="1" thickBot="1" x14ac:dyDescent="0.25">
      <c r="A288" s="299" t="s">
        <v>282</v>
      </c>
      <c r="B288" s="289">
        <v>0</v>
      </c>
      <c r="C288" s="291">
        <v>0</v>
      </c>
      <c r="D288" s="290">
        <v>0</v>
      </c>
      <c r="E288" s="292"/>
      <c r="F288" s="289">
        <f t="shared" si="50"/>
        <v>0</v>
      </c>
      <c r="G288" s="367">
        <f t="shared" si="51"/>
        <v>0</v>
      </c>
      <c r="H288" s="385">
        <f t="shared" si="52"/>
        <v>0</v>
      </c>
      <c r="I288" s="292"/>
    </row>
    <row r="289" spans="1:9" ht="18" customHeight="1" thickBot="1" x14ac:dyDescent="0.25">
      <c r="A289" s="313" t="s">
        <v>283</v>
      </c>
      <c r="B289" s="314">
        <f>SUM(B279:B288)</f>
        <v>0</v>
      </c>
      <c r="C289" s="319">
        <f>SUM(C279:C288)</f>
        <v>36220</v>
      </c>
      <c r="D289" s="318">
        <f>SUM(D279:D288)</f>
        <v>16030</v>
      </c>
      <c r="E289" s="317">
        <f t="shared" si="46"/>
        <v>44.257316399779128</v>
      </c>
      <c r="F289" s="417">
        <f>SUM(F279:F288)</f>
        <v>0</v>
      </c>
      <c r="G289" s="315">
        <f>SUM(G279:G288)</f>
        <v>357241</v>
      </c>
      <c r="H289" s="316">
        <f>SUM(H279:H288)+1</f>
        <v>153013.44</v>
      </c>
      <c r="I289" s="317">
        <f t="shared" si="48"/>
        <v>42.831992968332308</v>
      </c>
    </row>
    <row r="290" spans="1:9" ht="18" customHeight="1" thickBot="1" x14ac:dyDescent="0.25">
      <c r="A290" s="313" t="s">
        <v>284</v>
      </c>
      <c r="B290" s="284">
        <v>0</v>
      </c>
      <c r="C290" s="319">
        <v>1240</v>
      </c>
      <c r="D290" s="388">
        <f>30+440+350</f>
        <v>820</v>
      </c>
      <c r="E290" s="429">
        <f t="shared" si="46"/>
        <v>66.129032258064512</v>
      </c>
      <c r="F290" s="314">
        <f>B32+F32+B87+F87+B138+F138+B191+F191+B242+F242+B290</f>
        <v>0</v>
      </c>
      <c r="G290" s="389">
        <f>C32+G32+C87+G87+C138+G138+C191+G191+C242+G242+C290</f>
        <v>1520</v>
      </c>
      <c r="H290" s="390">
        <f>D32+H32+D87+H87+D138+H138+D191+H191+D242+H242+D290</f>
        <v>12847.32</v>
      </c>
      <c r="I290" s="317">
        <f t="shared" si="48"/>
        <v>845.21842105263158</v>
      </c>
    </row>
    <row r="291" spans="1:9" ht="24.95" customHeight="1" thickBot="1" x14ac:dyDescent="0.25">
      <c r="A291" s="293" t="s">
        <v>285</v>
      </c>
      <c r="B291" s="275">
        <f>SUM(B292:B296)</f>
        <v>534820</v>
      </c>
      <c r="C291" s="276">
        <f>SUM(C292:C296)</f>
        <v>560540</v>
      </c>
      <c r="D291" s="276">
        <f>SUM(D292:D296)</f>
        <v>241727</v>
      </c>
      <c r="E291" s="350">
        <f t="shared" si="46"/>
        <v>43.123951903521608</v>
      </c>
      <c r="F291" s="368">
        <f>SUM(F292:F296)</f>
        <v>3543725</v>
      </c>
      <c r="G291" s="369">
        <f>SUM(G292:G296)</f>
        <v>3679959</v>
      </c>
      <c r="H291" s="369">
        <f>SUM(H292:H296)</f>
        <v>1431309.61</v>
      </c>
      <c r="I291" s="277">
        <f t="shared" si="48"/>
        <v>38.894716218305696</v>
      </c>
    </row>
    <row r="292" spans="1:9" ht="18" customHeight="1" x14ac:dyDescent="0.2">
      <c r="A292" s="320" t="s">
        <v>286</v>
      </c>
      <c r="B292" s="279">
        <v>0</v>
      </c>
      <c r="C292" s="281">
        <v>0</v>
      </c>
      <c r="D292" s="280">
        <v>0</v>
      </c>
      <c r="E292" s="282"/>
      <c r="F292" s="279">
        <f t="shared" ref="F292:H299" si="53">B34+F34+B89+F89+B140+F140+B193+F193+B244+F244+B292</f>
        <v>0</v>
      </c>
      <c r="G292" s="366">
        <f t="shared" si="53"/>
        <v>9493</v>
      </c>
      <c r="H292" s="382">
        <f t="shared" si="53"/>
        <v>4394.21</v>
      </c>
      <c r="I292" s="334"/>
    </row>
    <row r="293" spans="1:9" ht="18" customHeight="1" x14ac:dyDescent="0.2">
      <c r="A293" s="321" t="s">
        <v>287</v>
      </c>
      <c r="B293" s="284">
        <v>153938</v>
      </c>
      <c r="C293" s="286">
        <v>154680</v>
      </c>
      <c r="D293" s="285">
        <v>52758.65</v>
      </c>
      <c r="E293" s="287">
        <f t="shared" ref="E293:E306" si="54">D293/C293*100</f>
        <v>34.108255753814326</v>
      </c>
      <c r="F293" s="284">
        <f t="shared" si="53"/>
        <v>1232366</v>
      </c>
      <c r="G293" s="383">
        <f t="shared" si="53"/>
        <v>1237560</v>
      </c>
      <c r="H293" s="384">
        <f t="shared" si="53"/>
        <v>457287.59000000008</v>
      </c>
      <c r="I293" s="287">
        <f t="shared" si="48"/>
        <v>36.950740974174998</v>
      </c>
    </row>
    <row r="294" spans="1:9" ht="18" customHeight="1" x14ac:dyDescent="0.2">
      <c r="A294" s="322" t="s">
        <v>288</v>
      </c>
      <c r="B294" s="284">
        <v>25200</v>
      </c>
      <c r="C294" s="286">
        <v>25200</v>
      </c>
      <c r="D294" s="285">
        <v>9038.07</v>
      </c>
      <c r="E294" s="287">
        <f t="shared" si="54"/>
        <v>35.865357142857142</v>
      </c>
      <c r="F294" s="284">
        <f t="shared" si="53"/>
        <v>216160</v>
      </c>
      <c r="G294" s="383">
        <f t="shared" si="53"/>
        <v>216160</v>
      </c>
      <c r="H294" s="384">
        <f t="shared" si="53"/>
        <v>77857.84</v>
      </c>
      <c r="I294" s="287">
        <f t="shared" si="48"/>
        <v>36.018615840118429</v>
      </c>
    </row>
    <row r="295" spans="1:9" ht="18" customHeight="1" x14ac:dyDescent="0.2">
      <c r="A295" s="322" t="s">
        <v>289</v>
      </c>
      <c r="B295" s="284">
        <v>344482</v>
      </c>
      <c r="C295" s="286">
        <v>369460</v>
      </c>
      <c r="D295" s="285">
        <v>177431.11</v>
      </c>
      <c r="E295" s="287">
        <f t="shared" si="54"/>
        <v>48.024443782818167</v>
      </c>
      <c r="F295" s="284">
        <f t="shared" si="53"/>
        <v>2008199</v>
      </c>
      <c r="G295" s="383">
        <f t="shared" si="53"/>
        <v>2128696</v>
      </c>
      <c r="H295" s="384">
        <f t="shared" si="53"/>
        <v>864884.96</v>
      </c>
      <c r="I295" s="287">
        <f t="shared" si="48"/>
        <v>40.629801531078179</v>
      </c>
    </row>
    <row r="296" spans="1:9" ht="18" customHeight="1" thickBot="1" x14ac:dyDescent="0.25">
      <c r="A296" s="323" t="s">
        <v>290</v>
      </c>
      <c r="B296" s="289">
        <v>11200</v>
      </c>
      <c r="C296" s="291">
        <v>11200</v>
      </c>
      <c r="D296" s="290">
        <v>2499.17</v>
      </c>
      <c r="E296" s="292">
        <f t="shared" si="54"/>
        <v>22.314017857142858</v>
      </c>
      <c r="F296" s="289">
        <f t="shared" si="53"/>
        <v>87000</v>
      </c>
      <c r="G296" s="367">
        <f t="shared" si="53"/>
        <v>88050</v>
      </c>
      <c r="H296" s="385">
        <f t="shared" si="53"/>
        <v>26885.010000000002</v>
      </c>
      <c r="I296" s="292">
        <f t="shared" si="48"/>
        <v>30.533798977853493</v>
      </c>
    </row>
    <row r="297" spans="1:9" ht="18" customHeight="1" thickBot="1" x14ac:dyDescent="0.25">
      <c r="A297" s="420" t="s">
        <v>291</v>
      </c>
      <c r="B297" s="325">
        <v>23540</v>
      </c>
      <c r="C297" s="327">
        <v>23540</v>
      </c>
      <c r="D297" s="326">
        <v>15262.27</v>
      </c>
      <c r="E297" s="328">
        <f t="shared" si="54"/>
        <v>64.83547153780799</v>
      </c>
      <c r="F297" s="325">
        <f t="shared" si="53"/>
        <v>186371</v>
      </c>
      <c r="G297" s="391">
        <f t="shared" si="53"/>
        <v>186371</v>
      </c>
      <c r="H297" s="392">
        <f t="shared" si="53"/>
        <v>113416.31999999999</v>
      </c>
      <c r="I297" s="328">
        <f t="shared" si="48"/>
        <v>60.85513304108472</v>
      </c>
    </row>
    <row r="298" spans="1:9" ht="18" customHeight="1" thickBot="1" x14ac:dyDescent="0.25">
      <c r="A298" s="421" t="s">
        <v>292</v>
      </c>
      <c r="B298" s="325">
        <v>132000</v>
      </c>
      <c r="C298" s="327">
        <v>132000</v>
      </c>
      <c r="D298" s="326">
        <v>18104.400000000001</v>
      </c>
      <c r="E298" s="328">
        <f t="shared" si="54"/>
        <v>13.715454545454547</v>
      </c>
      <c r="F298" s="325">
        <f t="shared" si="53"/>
        <v>862693</v>
      </c>
      <c r="G298" s="391">
        <f t="shared" si="53"/>
        <v>862693</v>
      </c>
      <c r="H298" s="392">
        <f t="shared" si="53"/>
        <v>148686</v>
      </c>
      <c r="I298" s="328">
        <f t="shared" si="48"/>
        <v>17.2350998559163</v>
      </c>
    </row>
    <row r="299" spans="1:9" ht="18" customHeight="1" thickBot="1" x14ac:dyDescent="0.25">
      <c r="A299" s="421" t="s">
        <v>293</v>
      </c>
      <c r="B299" s="325">
        <v>0</v>
      </c>
      <c r="C299" s="327">
        <v>0</v>
      </c>
      <c r="D299" s="326">
        <v>0</v>
      </c>
      <c r="E299" s="328"/>
      <c r="F299" s="325">
        <f t="shared" si="53"/>
        <v>0</v>
      </c>
      <c r="G299" s="391">
        <f t="shared" si="53"/>
        <v>0</v>
      </c>
      <c r="H299" s="392">
        <f t="shared" si="53"/>
        <v>1784.7999999999997</v>
      </c>
      <c r="I299" s="304"/>
    </row>
    <row r="300" spans="1:9" ht="19.899999999999999" customHeight="1" thickBot="1" x14ac:dyDescent="0.25">
      <c r="A300" s="330" t="s">
        <v>294</v>
      </c>
      <c r="B300" s="275">
        <f t="shared" ref="B300" si="55">SUM(B301:B302)</f>
        <v>0</v>
      </c>
      <c r="C300" s="276">
        <f t="shared" ref="C300:D300" si="56">SUM(C301:C302)</f>
        <v>0</v>
      </c>
      <c r="D300" s="276">
        <f t="shared" si="56"/>
        <v>0</v>
      </c>
      <c r="E300" s="350"/>
      <c r="F300" s="275">
        <f t="shared" ref="F300:G300" si="57">SUM(F301:F302)</f>
        <v>0</v>
      </c>
      <c r="G300" s="276">
        <f t="shared" si="57"/>
        <v>0</v>
      </c>
      <c r="H300" s="393">
        <f>D42+H42+D97+H97+D148+H148+D201+H201+D252+H252+D300</f>
        <v>3210</v>
      </c>
      <c r="I300" s="277"/>
    </row>
    <row r="301" spans="1:9" ht="19.899999999999999" customHeight="1" thickBot="1" x14ac:dyDescent="0.25">
      <c r="A301" s="331" t="s">
        <v>295</v>
      </c>
      <c r="B301" s="279">
        <v>0</v>
      </c>
      <c r="C301" s="281">
        <v>0</v>
      </c>
      <c r="D301" s="280">
        <v>0</v>
      </c>
      <c r="E301" s="287"/>
      <c r="F301" s="279">
        <v>0</v>
      </c>
      <c r="G301" s="366">
        <f>C43+G43+C98+G98+C149+G149+C202+G202+C253+G253+C301</f>
        <v>0</v>
      </c>
      <c r="H301" s="382">
        <f>D43+H43+D98+H98+D149+H149+D202+H202+D253+H253+D301</f>
        <v>3210</v>
      </c>
      <c r="I301" s="334"/>
    </row>
    <row r="302" spans="1:9" ht="19.899999999999999" customHeight="1" thickBot="1" x14ac:dyDescent="0.25">
      <c r="A302" s="335" t="s">
        <v>296</v>
      </c>
      <c r="B302" s="289">
        <v>0</v>
      </c>
      <c r="C302" s="291">
        <v>0</v>
      </c>
      <c r="D302" s="290">
        <v>0</v>
      </c>
      <c r="E302" s="292"/>
      <c r="F302" s="289">
        <v>0</v>
      </c>
      <c r="G302" s="367">
        <f>C44+G44+C99+G99+C150+G150+C203+G203+C254+G254+C302</f>
        <v>0</v>
      </c>
      <c r="H302" s="385">
        <f>D44+H44+D99+H99+D150+H150+D203+H203+D254+H254+D302</f>
        <v>0</v>
      </c>
      <c r="I302" s="338"/>
    </row>
    <row r="303" spans="1:9" ht="19.899999999999999" customHeight="1" thickBot="1" x14ac:dyDescent="0.25">
      <c r="A303" s="274" t="s">
        <v>297</v>
      </c>
      <c r="B303" s="339">
        <f t="shared" ref="B303:C303" si="58">B274+B291+B300+B297+B298</f>
        <v>1865973</v>
      </c>
      <c r="C303" s="339">
        <f t="shared" si="58"/>
        <v>2001093</v>
      </c>
      <c r="D303" s="339">
        <f>D274+D291+D300+D297+D298+D299</f>
        <v>807300.42</v>
      </c>
      <c r="E303" s="350">
        <f t="shared" si="54"/>
        <v>40.34297356494676</v>
      </c>
      <c r="F303" s="275">
        <f>F274+F291+F300+F297+F298</f>
        <v>14465241</v>
      </c>
      <c r="G303" s="276">
        <f t="shared" ref="G303" si="59">G274+G291+G300+G297+G298</f>
        <v>15508715</v>
      </c>
      <c r="H303" s="276">
        <f>H274+H291+H300+H297+H298+H299</f>
        <v>6314868.0600000005</v>
      </c>
      <c r="I303" s="277">
        <f t="shared" si="48"/>
        <v>40.718190127292949</v>
      </c>
    </row>
    <row r="304" spans="1:9" ht="19.899999999999999" customHeight="1" x14ac:dyDescent="0.2">
      <c r="A304" s="340" t="s">
        <v>298</v>
      </c>
      <c r="B304" s="279">
        <v>0</v>
      </c>
      <c r="C304" s="341">
        <v>0</v>
      </c>
      <c r="D304" s="342">
        <v>0</v>
      </c>
      <c r="E304" s="282"/>
      <c r="F304" s="279">
        <f t="shared" ref="F304:H305" si="60">B46+F46+B101+F101+B152+F152+B205+F205+B256+F256+B304</f>
        <v>0</v>
      </c>
      <c r="G304" s="281">
        <f t="shared" si="60"/>
        <v>0</v>
      </c>
      <c r="H304" s="382">
        <f t="shared" si="60"/>
        <v>0</v>
      </c>
      <c r="I304" s="376"/>
    </row>
    <row r="305" spans="1:9" ht="19.899999999999999" customHeight="1" thickBot="1" x14ac:dyDescent="0.25">
      <c r="A305" s="343" t="s">
        <v>299</v>
      </c>
      <c r="B305" s="289">
        <v>0</v>
      </c>
      <c r="C305" s="336">
        <v>0</v>
      </c>
      <c r="D305" s="337">
        <v>0</v>
      </c>
      <c r="E305" s="292"/>
      <c r="F305" s="289">
        <f t="shared" si="60"/>
        <v>0</v>
      </c>
      <c r="G305" s="367">
        <f t="shared" si="60"/>
        <v>0</v>
      </c>
      <c r="H305" s="385">
        <f t="shared" si="60"/>
        <v>0</v>
      </c>
      <c r="I305" s="364"/>
    </row>
    <row r="306" spans="1:9" ht="19.899999999999999" customHeight="1" thickBot="1" x14ac:dyDescent="0.25">
      <c r="A306" s="274" t="s">
        <v>300</v>
      </c>
      <c r="B306" s="339">
        <f>SUM(B303:B305)</f>
        <v>1865973</v>
      </c>
      <c r="C306" s="344">
        <f t="shared" ref="C306:D306" si="61">SUM(C303:C305)</f>
        <v>2001093</v>
      </c>
      <c r="D306" s="344">
        <f t="shared" si="61"/>
        <v>807300.42</v>
      </c>
      <c r="E306" s="350">
        <f t="shared" si="54"/>
        <v>40.34297356494676</v>
      </c>
      <c r="F306" s="339">
        <f>SUM(F303:F305)</f>
        <v>14465241</v>
      </c>
      <c r="G306" s="344">
        <f t="shared" ref="G306:H306" si="62">SUM(G303:G305)</f>
        <v>15508715</v>
      </c>
      <c r="H306" s="344">
        <f t="shared" si="62"/>
        <v>6314868.0600000005</v>
      </c>
      <c r="I306" s="277">
        <f t="shared" si="48"/>
        <v>40.718190127292949</v>
      </c>
    </row>
    <row r="307" spans="1:9" ht="31.9" customHeight="1" x14ac:dyDescent="0.2">
      <c r="A307" s="345"/>
      <c r="B307" s="346"/>
      <c r="C307" s="346"/>
      <c r="D307" s="346"/>
      <c r="E307" s="394"/>
      <c r="F307" s="346"/>
      <c r="G307" s="346"/>
      <c r="H307" s="346"/>
      <c r="I307" s="347"/>
    </row>
    <row r="308" spans="1:9" ht="18" customHeight="1" x14ac:dyDescent="0.2">
      <c r="A308" s="499" t="s">
        <v>255</v>
      </c>
      <c r="B308" s="500"/>
      <c r="C308" s="500"/>
      <c r="D308" s="500"/>
      <c r="E308" s="500"/>
      <c r="F308" s="500"/>
      <c r="G308" s="500"/>
      <c r="H308" s="500"/>
      <c r="I308" s="347"/>
    </row>
    <row r="309" spans="1:9" ht="17.25" customHeight="1" x14ac:dyDescent="0.2">
      <c r="A309" s="499" t="s">
        <v>256</v>
      </c>
      <c r="B309" s="500"/>
      <c r="C309" s="500"/>
      <c r="D309" s="500"/>
      <c r="E309" s="500"/>
      <c r="F309" s="500"/>
      <c r="G309" s="500"/>
      <c r="H309" s="500"/>
      <c r="I309" s="347"/>
    </row>
    <row r="310" spans="1:9" ht="18" customHeight="1" x14ac:dyDescent="0.2">
      <c r="A310" s="345"/>
      <c r="B310" s="346"/>
      <c r="C310" s="346"/>
      <c r="D310" s="346"/>
      <c r="E310" s="347"/>
      <c r="F310" s="347"/>
      <c r="G310" s="346"/>
      <c r="H310" s="346"/>
      <c r="I310" s="347"/>
    </row>
    <row r="311" spans="1:9" ht="17.25" customHeight="1" x14ac:dyDescent="0.2">
      <c r="A311" s="395"/>
      <c r="B311" s="396"/>
      <c r="C311" s="355"/>
      <c r="D311" s="355"/>
      <c r="E311" s="355"/>
      <c r="F311" s="355"/>
      <c r="G311" s="355"/>
      <c r="H311" s="501" t="s">
        <v>313</v>
      </c>
      <c r="I311" s="501"/>
    </row>
    <row r="312" spans="1:9" ht="16.5" customHeight="1" thickBot="1" x14ac:dyDescent="0.25">
      <c r="A312" s="395"/>
      <c r="B312" s="396"/>
      <c r="C312" s="355"/>
      <c r="D312" s="355"/>
      <c r="E312" s="355"/>
      <c r="F312" s="355"/>
      <c r="G312" s="355"/>
      <c r="H312" s="355"/>
      <c r="I312" s="374" t="s">
        <v>258</v>
      </c>
    </row>
    <row r="313" spans="1:9" ht="21.95" customHeight="1" thickBot="1" x14ac:dyDescent="0.25">
      <c r="A313" s="502" t="s">
        <v>302</v>
      </c>
      <c r="B313" s="504" t="s">
        <v>314</v>
      </c>
      <c r="C313" s="505"/>
      <c r="D313" s="505"/>
      <c r="E313" s="506"/>
      <c r="F313" s="504" t="s">
        <v>315</v>
      </c>
      <c r="G313" s="505"/>
      <c r="H313" s="505"/>
      <c r="I313" s="506"/>
    </row>
    <row r="314" spans="1:9" ht="39" thickBot="1" x14ac:dyDescent="0.25">
      <c r="A314" s="503"/>
      <c r="B314" s="272" t="s">
        <v>228</v>
      </c>
      <c r="C314" s="272" t="s">
        <v>244</v>
      </c>
      <c r="D314" s="273" t="s">
        <v>245</v>
      </c>
      <c r="E314" s="375" t="s">
        <v>223</v>
      </c>
      <c r="F314" s="272" t="s">
        <v>228</v>
      </c>
      <c r="G314" s="272" t="s">
        <v>244</v>
      </c>
      <c r="H314" s="273" t="s">
        <v>245</v>
      </c>
      <c r="I314" s="375" t="s">
        <v>223</v>
      </c>
    </row>
    <row r="315" spans="1:9" ht="24.95" customHeight="1" thickBot="1" x14ac:dyDescent="0.25">
      <c r="A315" s="274" t="s">
        <v>316</v>
      </c>
      <c r="B315" s="339">
        <f>SUM(B316:B321)</f>
        <v>1267714</v>
      </c>
      <c r="C315" s="344">
        <f>SUM(C316:C321)</f>
        <v>1267714</v>
      </c>
      <c r="D315" s="344">
        <f>SUM(D316:D321)</f>
        <v>426914.08999999997</v>
      </c>
      <c r="E315" s="397">
        <f t="shared" ref="E315:E355" si="63">D315/C315*100</f>
        <v>33.67589929589797</v>
      </c>
      <c r="F315" s="339">
        <f>SUM(F316:F321)</f>
        <v>2388433</v>
      </c>
      <c r="G315" s="344">
        <f>SUM(G316:G321)</f>
        <v>2389953</v>
      </c>
      <c r="H315" s="344">
        <f>SUM(H316:H321)+1</f>
        <v>849533.12000000011</v>
      </c>
      <c r="I315" s="397">
        <f>H315/G315*100</f>
        <v>35.546017850560247</v>
      </c>
    </row>
    <row r="316" spans="1:9" ht="19.899999999999999" customHeight="1" x14ac:dyDescent="0.2">
      <c r="A316" s="283" t="s">
        <v>263</v>
      </c>
      <c r="B316" s="279">
        <v>544800</v>
      </c>
      <c r="C316" s="281">
        <v>544800</v>
      </c>
      <c r="D316" s="398">
        <v>200716.79</v>
      </c>
      <c r="E316" s="430">
        <f t="shared" si="63"/>
        <v>36.842288913362701</v>
      </c>
      <c r="F316" s="431">
        <f t="shared" ref="F316:H319" si="64">SUM(F269+B316)</f>
        <v>1014200</v>
      </c>
      <c r="G316" s="306">
        <f t="shared" si="64"/>
        <v>1014200</v>
      </c>
      <c r="H316" s="399">
        <f t="shared" si="64"/>
        <v>351576.06000000006</v>
      </c>
      <c r="I316" s="360">
        <f t="shared" ref="I316:I356" si="65">H316/G316*100</f>
        <v>34.665357917570503</v>
      </c>
    </row>
    <row r="317" spans="1:9" ht="19.899999999999999" customHeight="1" x14ac:dyDescent="0.2">
      <c r="A317" s="283" t="s">
        <v>264</v>
      </c>
      <c r="B317" s="284">
        <v>222880</v>
      </c>
      <c r="C317" s="286">
        <v>222880</v>
      </c>
      <c r="D317" s="400">
        <v>42479.62</v>
      </c>
      <c r="E317" s="410">
        <f t="shared" si="63"/>
        <v>19.059413137114142</v>
      </c>
      <c r="F317" s="432">
        <f t="shared" si="64"/>
        <v>575612</v>
      </c>
      <c r="G317" s="308">
        <f t="shared" si="64"/>
        <v>575612</v>
      </c>
      <c r="H317" s="401">
        <f t="shared" si="64"/>
        <v>125815.63999999998</v>
      </c>
      <c r="I317" s="348">
        <f t="shared" si="65"/>
        <v>21.857716656358793</v>
      </c>
    </row>
    <row r="318" spans="1:9" ht="19.899999999999999" customHeight="1" x14ac:dyDescent="0.2">
      <c r="A318" s="288" t="s">
        <v>265</v>
      </c>
      <c r="B318" s="284">
        <v>47502</v>
      </c>
      <c r="C318" s="286">
        <v>47502</v>
      </c>
      <c r="D318" s="400">
        <v>23263.08</v>
      </c>
      <c r="E318" s="410">
        <f t="shared" si="63"/>
        <v>48.972843248705324</v>
      </c>
      <c r="F318" s="432">
        <f t="shared" si="64"/>
        <v>155622</v>
      </c>
      <c r="G318" s="308">
        <f t="shared" si="64"/>
        <v>155622</v>
      </c>
      <c r="H318" s="401">
        <f t="shared" si="64"/>
        <v>85776.61</v>
      </c>
      <c r="I318" s="348">
        <f t="shared" si="65"/>
        <v>55.11856292812071</v>
      </c>
    </row>
    <row r="319" spans="1:9" ht="19.899999999999999" customHeight="1" x14ac:dyDescent="0.2">
      <c r="A319" s="283" t="s">
        <v>266</v>
      </c>
      <c r="B319" s="284">
        <v>452382</v>
      </c>
      <c r="C319" s="286">
        <v>452382</v>
      </c>
      <c r="D319" s="400">
        <f>172.8+151550.01</f>
        <v>151722.81</v>
      </c>
      <c r="E319" s="410">
        <f t="shared" si="63"/>
        <v>33.538648752602889</v>
      </c>
      <c r="F319" s="432">
        <f t="shared" si="64"/>
        <v>638753</v>
      </c>
      <c r="G319" s="308">
        <f t="shared" si="64"/>
        <v>638753</v>
      </c>
      <c r="H319" s="401">
        <f t="shared" si="64"/>
        <v>241373.77000000002</v>
      </c>
      <c r="I319" s="348">
        <f t="shared" si="65"/>
        <v>37.788279663657157</v>
      </c>
    </row>
    <row r="320" spans="1:9" ht="19.899999999999999" customHeight="1" thickBot="1" x14ac:dyDescent="0.25">
      <c r="A320" s="283" t="s">
        <v>267</v>
      </c>
      <c r="B320" s="284">
        <v>150</v>
      </c>
      <c r="C320" s="286">
        <v>150</v>
      </c>
      <c r="D320" s="400">
        <f>2806.55+100+5825.24</f>
        <v>8731.7900000000009</v>
      </c>
      <c r="E320" s="410"/>
      <c r="F320" s="432">
        <f>SUM(F273+B320)</f>
        <v>4246</v>
      </c>
      <c r="G320" s="308">
        <f>SUM(G273+C320)</f>
        <v>5766</v>
      </c>
      <c r="H320" s="401">
        <f>SUM(H273+D320)-1</f>
        <v>44990.040000000008</v>
      </c>
      <c r="I320" s="348">
        <f t="shared" si="65"/>
        <v>780.26430801248705</v>
      </c>
    </row>
    <row r="321" spans="1:9" ht="15" hidden="1" customHeight="1" x14ac:dyDescent="0.2">
      <c r="A321" s="418" t="s">
        <v>317</v>
      </c>
      <c r="B321" s="289">
        <v>0</v>
      </c>
      <c r="C321" s="310">
        <v>0</v>
      </c>
      <c r="D321" s="402"/>
      <c r="E321" s="433"/>
      <c r="F321" s="434">
        <f>SUM(B321)</f>
        <v>0</v>
      </c>
      <c r="G321" s="403">
        <f>SUM(C321)</f>
        <v>0</v>
      </c>
      <c r="H321" s="404">
        <f>SUM(D321)</f>
        <v>0</v>
      </c>
      <c r="I321" s="405"/>
    </row>
    <row r="322" spans="1:9" ht="20.25" customHeight="1" thickBot="1" x14ac:dyDescent="0.25">
      <c r="A322" s="293" t="s">
        <v>268</v>
      </c>
      <c r="B322" s="339">
        <f>B326+B337+B338</f>
        <v>170517</v>
      </c>
      <c r="C322" s="344">
        <f>C326+C337+C338</f>
        <v>169273</v>
      </c>
      <c r="D322" s="344">
        <f>D326+D337+D338</f>
        <v>84154.87000000001</v>
      </c>
      <c r="E322" s="359">
        <f t="shared" si="63"/>
        <v>49.71547145734997</v>
      </c>
      <c r="F322" s="339">
        <f t="shared" ref="F322:H325" si="66">SUM(F274+B322)</f>
        <v>10042969</v>
      </c>
      <c r="G322" s="344">
        <f t="shared" si="66"/>
        <v>10948965</v>
      </c>
      <c r="H322" s="344">
        <f t="shared" si="66"/>
        <v>4700616.2</v>
      </c>
      <c r="I322" s="359">
        <f t="shared" si="65"/>
        <v>42.932059788299625</v>
      </c>
    </row>
    <row r="323" spans="1:9" ht="15.75" customHeight="1" x14ac:dyDescent="0.2">
      <c r="A323" s="321" t="s">
        <v>269</v>
      </c>
      <c r="B323" s="284">
        <v>0</v>
      </c>
      <c r="C323" s="306">
        <v>0</v>
      </c>
      <c r="D323" s="399">
        <v>0</v>
      </c>
      <c r="E323" s="430"/>
      <c r="F323" s="431">
        <f t="shared" si="66"/>
        <v>8564290</v>
      </c>
      <c r="G323" s="306">
        <f t="shared" si="66"/>
        <v>9108504</v>
      </c>
      <c r="H323" s="399">
        <f t="shared" si="66"/>
        <v>3712969.98</v>
      </c>
      <c r="I323" s="360">
        <f t="shared" si="65"/>
        <v>40.763773941362928</v>
      </c>
    </row>
    <row r="324" spans="1:9" ht="18.75" customHeight="1" x14ac:dyDescent="0.2">
      <c r="A324" s="323" t="s">
        <v>270</v>
      </c>
      <c r="B324" s="284">
        <v>0</v>
      </c>
      <c r="C324" s="308">
        <v>0</v>
      </c>
      <c r="D324" s="401">
        <v>0</v>
      </c>
      <c r="E324" s="410"/>
      <c r="F324" s="432">
        <f t="shared" si="66"/>
        <v>1308162</v>
      </c>
      <c r="G324" s="308">
        <f t="shared" si="66"/>
        <v>1312427</v>
      </c>
      <c r="H324" s="401">
        <f t="shared" si="66"/>
        <v>567094.49000000011</v>
      </c>
      <c r="I324" s="348">
        <f t="shared" si="65"/>
        <v>43.209602515035129</v>
      </c>
    </row>
    <row r="325" spans="1:9" ht="19.5" customHeight="1" thickBot="1" x14ac:dyDescent="0.25">
      <c r="A325" s="299" t="s">
        <v>271</v>
      </c>
      <c r="B325" s="289">
        <v>0</v>
      </c>
      <c r="C325" s="403">
        <v>0</v>
      </c>
      <c r="D325" s="406">
        <v>44320.160000000003</v>
      </c>
      <c r="E325" s="435"/>
      <c r="F325" s="434">
        <f t="shared" si="66"/>
        <v>0</v>
      </c>
      <c r="G325" s="403">
        <f t="shared" si="66"/>
        <v>0</v>
      </c>
      <c r="H325" s="407">
        <f t="shared" si="66"/>
        <v>214856.26</v>
      </c>
      <c r="I325" s="349"/>
    </row>
    <row r="326" spans="1:9" ht="26.25" customHeight="1" thickBot="1" x14ac:dyDescent="0.25">
      <c r="A326" s="300" t="s">
        <v>272</v>
      </c>
      <c r="B326" s="428">
        <f>SUM(B323:B325)</f>
        <v>0</v>
      </c>
      <c r="C326" s="386">
        <f>SUM(C323:C325)</f>
        <v>0</v>
      </c>
      <c r="D326" s="387">
        <f>SUM(D323:D325)</f>
        <v>44320.160000000003</v>
      </c>
      <c r="E326" s="362"/>
      <c r="F326" s="428">
        <f>SUM(F278+B326)</f>
        <v>9872452</v>
      </c>
      <c r="G326" s="386">
        <f>SUM(G278+C326)</f>
        <v>10420931</v>
      </c>
      <c r="H326" s="387">
        <f>SUM(H278+D326)-0.24</f>
        <v>4494920.4899999993</v>
      </c>
      <c r="I326" s="362">
        <f t="shared" si="65"/>
        <v>43.133578852023867</v>
      </c>
    </row>
    <row r="327" spans="1:9" ht="18" customHeight="1" x14ac:dyDescent="0.2">
      <c r="A327" s="305" t="s">
        <v>273</v>
      </c>
      <c r="B327" s="284">
        <v>0</v>
      </c>
      <c r="C327" s="306">
        <v>0</v>
      </c>
      <c r="D327" s="399">
        <v>0</v>
      </c>
      <c r="E327" s="430"/>
      <c r="F327" s="431">
        <f t="shared" ref="F327:H335" si="67">F279</f>
        <v>0</v>
      </c>
      <c r="G327" s="306">
        <f t="shared" si="67"/>
        <v>134464</v>
      </c>
      <c r="H327" s="399">
        <f t="shared" si="67"/>
        <v>44485.65</v>
      </c>
      <c r="I327" s="360">
        <f t="shared" si="65"/>
        <v>33.083687827225134</v>
      </c>
    </row>
    <row r="328" spans="1:9" ht="18" customHeight="1" x14ac:dyDescent="0.2">
      <c r="A328" s="307" t="s">
        <v>274</v>
      </c>
      <c r="B328" s="284">
        <v>0</v>
      </c>
      <c r="C328" s="308">
        <v>0</v>
      </c>
      <c r="D328" s="401">
        <v>0</v>
      </c>
      <c r="E328" s="410"/>
      <c r="F328" s="432">
        <f t="shared" si="67"/>
        <v>0</v>
      </c>
      <c r="G328" s="308">
        <f t="shared" si="67"/>
        <v>0</v>
      </c>
      <c r="H328" s="401">
        <f t="shared" si="67"/>
        <v>0</v>
      </c>
      <c r="I328" s="348"/>
    </row>
    <row r="329" spans="1:9" ht="18" customHeight="1" x14ac:dyDescent="0.2">
      <c r="A329" s="307" t="s">
        <v>275</v>
      </c>
      <c r="B329" s="284">
        <v>0</v>
      </c>
      <c r="C329" s="308">
        <v>0</v>
      </c>
      <c r="D329" s="401">
        <v>0</v>
      </c>
      <c r="E329" s="410"/>
      <c r="F329" s="432">
        <f t="shared" si="67"/>
        <v>0</v>
      </c>
      <c r="G329" s="308">
        <f t="shared" si="67"/>
        <v>123627</v>
      </c>
      <c r="H329" s="401">
        <f t="shared" si="67"/>
        <v>81376.789999999994</v>
      </c>
      <c r="I329" s="348">
        <f t="shared" si="65"/>
        <v>65.824447733909253</v>
      </c>
    </row>
    <row r="330" spans="1:9" ht="18" customHeight="1" x14ac:dyDescent="0.2">
      <c r="A330" s="307" t="s">
        <v>276</v>
      </c>
      <c r="B330" s="284">
        <v>0</v>
      </c>
      <c r="C330" s="308">
        <v>0</v>
      </c>
      <c r="D330" s="401">
        <v>0</v>
      </c>
      <c r="E330" s="410"/>
      <c r="F330" s="432">
        <f t="shared" si="67"/>
        <v>0</v>
      </c>
      <c r="G330" s="308">
        <f t="shared" si="67"/>
        <v>0</v>
      </c>
      <c r="H330" s="401">
        <f t="shared" si="67"/>
        <v>0</v>
      </c>
      <c r="I330" s="348"/>
    </row>
    <row r="331" spans="1:9" ht="18" customHeight="1" x14ac:dyDescent="0.2">
      <c r="A331" s="309" t="s">
        <v>277</v>
      </c>
      <c r="B331" s="284">
        <v>0</v>
      </c>
      <c r="C331" s="308">
        <v>0</v>
      </c>
      <c r="D331" s="401">
        <v>0</v>
      </c>
      <c r="E331" s="410"/>
      <c r="F331" s="432">
        <f t="shared" si="67"/>
        <v>0</v>
      </c>
      <c r="G331" s="308">
        <f t="shared" si="67"/>
        <v>300</v>
      </c>
      <c r="H331" s="401">
        <f t="shared" si="67"/>
        <v>0</v>
      </c>
      <c r="I331" s="348">
        <f t="shared" si="65"/>
        <v>0</v>
      </c>
    </row>
    <row r="332" spans="1:9" ht="18" customHeight="1" x14ac:dyDescent="0.2">
      <c r="A332" s="309" t="s">
        <v>278</v>
      </c>
      <c r="B332" s="284">
        <v>0</v>
      </c>
      <c r="C332" s="308">
        <v>0</v>
      </c>
      <c r="D332" s="401">
        <v>0</v>
      </c>
      <c r="E332" s="410"/>
      <c r="F332" s="432">
        <f t="shared" si="67"/>
        <v>0</v>
      </c>
      <c r="G332" s="308">
        <f t="shared" si="67"/>
        <v>0</v>
      </c>
      <c r="H332" s="401">
        <f t="shared" si="67"/>
        <v>0</v>
      </c>
      <c r="I332" s="348"/>
    </row>
    <row r="333" spans="1:9" ht="18" customHeight="1" x14ac:dyDescent="0.2">
      <c r="A333" s="309" t="s">
        <v>279</v>
      </c>
      <c r="B333" s="284">
        <v>0</v>
      </c>
      <c r="C333" s="308">
        <v>0</v>
      </c>
      <c r="D333" s="401">
        <v>0</v>
      </c>
      <c r="E333" s="410"/>
      <c r="F333" s="432">
        <f t="shared" si="67"/>
        <v>0</v>
      </c>
      <c r="G333" s="308">
        <f t="shared" si="67"/>
        <v>27150</v>
      </c>
      <c r="H333" s="401">
        <f t="shared" si="67"/>
        <v>27150</v>
      </c>
      <c r="I333" s="348">
        <f t="shared" si="65"/>
        <v>100</v>
      </c>
    </row>
    <row r="334" spans="1:9" ht="18" customHeight="1" x14ac:dyDescent="0.2">
      <c r="A334" s="309" t="s">
        <v>280</v>
      </c>
      <c r="B334" s="284">
        <v>0</v>
      </c>
      <c r="C334" s="308">
        <v>0</v>
      </c>
      <c r="D334" s="401">
        <v>0</v>
      </c>
      <c r="E334" s="410"/>
      <c r="F334" s="432">
        <f t="shared" si="67"/>
        <v>0</v>
      </c>
      <c r="G334" s="308">
        <f t="shared" si="67"/>
        <v>71700</v>
      </c>
      <c r="H334" s="401">
        <f t="shared" si="67"/>
        <v>0</v>
      </c>
      <c r="I334" s="348">
        <f t="shared" si="65"/>
        <v>0</v>
      </c>
    </row>
    <row r="335" spans="1:9" ht="18" customHeight="1" x14ac:dyDescent="0.2">
      <c r="A335" s="309" t="s">
        <v>281</v>
      </c>
      <c r="B335" s="284">
        <v>0</v>
      </c>
      <c r="C335" s="308">
        <v>0</v>
      </c>
      <c r="D335" s="401">
        <v>0</v>
      </c>
      <c r="E335" s="410"/>
      <c r="F335" s="432">
        <f t="shared" si="67"/>
        <v>0</v>
      </c>
      <c r="G335" s="308">
        <f t="shared" si="67"/>
        <v>0</v>
      </c>
      <c r="H335" s="401">
        <f t="shared" si="67"/>
        <v>0</v>
      </c>
      <c r="I335" s="348"/>
    </row>
    <row r="336" spans="1:9" ht="18" customHeight="1" thickBot="1" x14ac:dyDescent="0.25">
      <c r="A336" s="299" t="s">
        <v>282</v>
      </c>
      <c r="B336" s="434">
        <v>170517</v>
      </c>
      <c r="C336" s="403">
        <v>169273</v>
      </c>
      <c r="D336" s="401">
        <v>34009.47</v>
      </c>
      <c r="E336" s="435">
        <f t="shared" si="63"/>
        <v>20.091491259681106</v>
      </c>
      <c r="F336" s="434">
        <f t="shared" ref="F336:H340" si="68">F288+B336</f>
        <v>170517</v>
      </c>
      <c r="G336" s="403">
        <f t="shared" si="68"/>
        <v>169273</v>
      </c>
      <c r="H336" s="406">
        <f t="shared" si="68"/>
        <v>34009.47</v>
      </c>
      <c r="I336" s="349">
        <f t="shared" si="65"/>
        <v>20.091491259681106</v>
      </c>
    </row>
    <row r="337" spans="1:9" ht="18" customHeight="1" thickBot="1" x14ac:dyDescent="0.25">
      <c r="A337" s="313" t="s">
        <v>283</v>
      </c>
      <c r="B337" s="417">
        <f>SUM(B327:B336)</f>
        <v>170517</v>
      </c>
      <c r="C337" s="315">
        <f>SUM(C327:C336)</f>
        <v>169273</v>
      </c>
      <c r="D337" s="316">
        <f>SUM(D327:D336)</f>
        <v>34009.47</v>
      </c>
      <c r="E337" s="362">
        <f t="shared" si="63"/>
        <v>20.091491259681106</v>
      </c>
      <c r="F337" s="417">
        <f t="shared" si="68"/>
        <v>170517</v>
      </c>
      <c r="G337" s="315">
        <f t="shared" si="68"/>
        <v>526514</v>
      </c>
      <c r="H337" s="316">
        <f t="shared" si="68"/>
        <v>187022.91</v>
      </c>
      <c r="I337" s="362">
        <f t="shared" si="65"/>
        <v>35.520975700551169</v>
      </c>
    </row>
    <row r="338" spans="1:9" ht="18" customHeight="1" thickBot="1" x14ac:dyDescent="0.25">
      <c r="A338" s="313" t="s">
        <v>284</v>
      </c>
      <c r="B338" s="314">
        <v>0</v>
      </c>
      <c r="C338" s="315">
        <v>0</v>
      </c>
      <c r="D338" s="316">
        <v>5825.24</v>
      </c>
      <c r="E338" s="362"/>
      <c r="F338" s="417">
        <f t="shared" si="68"/>
        <v>0</v>
      </c>
      <c r="G338" s="315">
        <f t="shared" si="68"/>
        <v>1520</v>
      </c>
      <c r="H338" s="316">
        <f t="shared" si="68"/>
        <v>18672.559999999998</v>
      </c>
      <c r="I338" s="362">
        <f t="shared" si="65"/>
        <v>1228.457894736842</v>
      </c>
    </row>
    <row r="339" spans="1:9" ht="24.75" customHeight="1" thickBot="1" x14ac:dyDescent="0.25">
      <c r="A339" s="293" t="s">
        <v>285</v>
      </c>
      <c r="B339" s="339">
        <f>B340+B341+B342+B343+B344+B345+B346</f>
        <v>7984706</v>
      </c>
      <c r="C339" s="344">
        <f>C340+C341+C342+C343+C344+C345+C346</f>
        <v>8015222</v>
      </c>
      <c r="D339" s="344">
        <f>D340+D341+D342+D343+D344+D345+D346</f>
        <v>3397844.24</v>
      </c>
      <c r="E339" s="359">
        <f t="shared" si="63"/>
        <v>42.3923908782564</v>
      </c>
      <c r="F339" s="339">
        <f t="shared" si="68"/>
        <v>11528431</v>
      </c>
      <c r="G339" s="344">
        <f t="shared" si="68"/>
        <v>11695181</v>
      </c>
      <c r="H339" s="344">
        <f t="shared" si="68"/>
        <v>4829153.8500000006</v>
      </c>
      <c r="I339" s="359">
        <f t="shared" si="65"/>
        <v>41.291826522394146</v>
      </c>
    </row>
    <row r="340" spans="1:9" ht="18" customHeight="1" x14ac:dyDescent="0.2">
      <c r="A340" s="320" t="s">
        <v>318</v>
      </c>
      <c r="B340" s="284">
        <v>0</v>
      </c>
      <c r="C340" s="286">
        <v>0</v>
      </c>
      <c r="D340" s="399">
        <v>0</v>
      </c>
      <c r="E340" s="430"/>
      <c r="F340" s="431">
        <f t="shared" si="68"/>
        <v>0</v>
      </c>
      <c r="G340" s="306">
        <f t="shared" si="68"/>
        <v>9493</v>
      </c>
      <c r="H340" s="399">
        <f t="shared" si="68"/>
        <v>4394.21</v>
      </c>
      <c r="I340" s="360"/>
    </row>
    <row r="341" spans="1:9" ht="18" customHeight="1" x14ac:dyDescent="0.2">
      <c r="A341" s="321" t="s">
        <v>287</v>
      </c>
      <c r="B341" s="284">
        <v>974351</v>
      </c>
      <c r="C341" s="286">
        <v>976274</v>
      </c>
      <c r="D341" s="401">
        <v>399942.71</v>
      </c>
      <c r="E341" s="410">
        <f t="shared" si="63"/>
        <v>40.966235913278446</v>
      </c>
      <c r="F341" s="432">
        <f t="shared" ref="F341:H344" si="69">SUM(F293+B341)</f>
        <v>2206717</v>
      </c>
      <c r="G341" s="308">
        <f t="shared" si="69"/>
        <v>2213834</v>
      </c>
      <c r="H341" s="401">
        <f t="shared" si="69"/>
        <v>857230.3</v>
      </c>
      <c r="I341" s="348">
        <f t="shared" si="65"/>
        <v>38.721525642844043</v>
      </c>
    </row>
    <row r="342" spans="1:9" ht="18" customHeight="1" x14ac:dyDescent="0.2">
      <c r="A342" s="322" t="s">
        <v>288</v>
      </c>
      <c r="B342" s="284">
        <v>110250</v>
      </c>
      <c r="C342" s="286">
        <v>110250</v>
      </c>
      <c r="D342" s="401">
        <v>46357.81</v>
      </c>
      <c r="E342" s="410">
        <f t="shared" si="63"/>
        <v>42.04790022675737</v>
      </c>
      <c r="F342" s="432">
        <f t="shared" si="69"/>
        <v>326410</v>
      </c>
      <c r="G342" s="308">
        <f t="shared" si="69"/>
        <v>326410</v>
      </c>
      <c r="H342" s="401">
        <f t="shared" si="69"/>
        <v>124215.65</v>
      </c>
      <c r="I342" s="348">
        <f t="shared" si="65"/>
        <v>38.055099414846353</v>
      </c>
    </row>
    <row r="343" spans="1:9" ht="18" customHeight="1" x14ac:dyDescent="0.2">
      <c r="A343" s="322" t="s">
        <v>319</v>
      </c>
      <c r="B343" s="284">
        <v>5603917</v>
      </c>
      <c r="C343" s="286">
        <v>5628763</v>
      </c>
      <c r="D343" s="401">
        <v>2336720.02</v>
      </c>
      <c r="E343" s="410">
        <f t="shared" si="63"/>
        <v>41.513917356264599</v>
      </c>
      <c r="F343" s="432">
        <f t="shared" si="69"/>
        <v>7612116</v>
      </c>
      <c r="G343" s="308">
        <f t="shared" si="69"/>
        <v>7757459</v>
      </c>
      <c r="H343" s="401">
        <f t="shared" si="69"/>
        <v>3201604.98</v>
      </c>
      <c r="I343" s="348">
        <f t="shared" si="65"/>
        <v>41.271310360776639</v>
      </c>
    </row>
    <row r="344" spans="1:9" ht="18" customHeight="1" x14ac:dyDescent="0.2">
      <c r="A344" s="322" t="s">
        <v>320</v>
      </c>
      <c r="B344" s="284">
        <v>705088</v>
      </c>
      <c r="C344" s="286">
        <v>720657</v>
      </c>
      <c r="D344" s="401">
        <v>363063.75</v>
      </c>
      <c r="E344" s="410">
        <f t="shared" si="63"/>
        <v>50.37954949441967</v>
      </c>
      <c r="F344" s="432">
        <f t="shared" si="69"/>
        <v>792088</v>
      </c>
      <c r="G344" s="308">
        <f t="shared" si="69"/>
        <v>808707</v>
      </c>
      <c r="H344" s="401">
        <f t="shared" si="69"/>
        <v>389948.76</v>
      </c>
      <c r="I344" s="348">
        <f t="shared" si="65"/>
        <v>48.218793704023831</v>
      </c>
    </row>
    <row r="345" spans="1:9" ht="18" customHeight="1" x14ac:dyDescent="0.2">
      <c r="A345" s="322" t="s">
        <v>321</v>
      </c>
      <c r="B345" s="284">
        <v>515814</v>
      </c>
      <c r="C345" s="286">
        <v>515814</v>
      </c>
      <c r="D345" s="401">
        <v>210770.54</v>
      </c>
      <c r="E345" s="410">
        <f t="shared" si="63"/>
        <v>40.861733105344179</v>
      </c>
      <c r="F345" s="432">
        <f t="shared" ref="F345:H346" si="70">SUM(B345)</f>
        <v>515814</v>
      </c>
      <c r="G345" s="308">
        <f t="shared" si="70"/>
        <v>515814</v>
      </c>
      <c r="H345" s="401">
        <f t="shared" si="70"/>
        <v>210770.54</v>
      </c>
      <c r="I345" s="348">
        <f t="shared" si="65"/>
        <v>40.861733105344179</v>
      </c>
    </row>
    <row r="346" spans="1:9" ht="18" customHeight="1" thickBot="1" x14ac:dyDescent="0.25">
      <c r="A346" s="323" t="s">
        <v>322</v>
      </c>
      <c r="B346" s="289">
        <v>75286</v>
      </c>
      <c r="C346" s="291">
        <v>63464</v>
      </c>
      <c r="D346" s="406">
        <v>40989.410000000003</v>
      </c>
      <c r="E346" s="435">
        <f t="shared" si="63"/>
        <v>64.586868145720416</v>
      </c>
      <c r="F346" s="434">
        <f t="shared" si="70"/>
        <v>75286</v>
      </c>
      <c r="G346" s="403">
        <f t="shared" si="70"/>
        <v>63464</v>
      </c>
      <c r="H346" s="406">
        <f t="shared" si="70"/>
        <v>40989.410000000003</v>
      </c>
      <c r="I346" s="349">
        <f t="shared" si="65"/>
        <v>64.586868145720416</v>
      </c>
    </row>
    <row r="347" spans="1:9" ht="18" customHeight="1" thickBot="1" x14ac:dyDescent="0.25">
      <c r="A347" s="420" t="s">
        <v>291</v>
      </c>
      <c r="B347" s="325">
        <v>452382</v>
      </c>
      <c r="C347" s="327">
        <v>452382</v>
      </c>
      <c r="D347" s="408">
        <v>122850.09</v>
      </c>
      <c r="E347" s="436">
        <f t="shared" si="63"/>
        <v>27.156272795999843</v>
      </c>
      <c r="F347" s="437">
        <f t="shared" ref="F347:H348" si="71">SUM(F297+B347)</f>
        <v>638753</v>
      </c>
      <c r="G347" s="409">
        <f t="shared" si="71"/>
        <v>638753</v>
      </c>
      <c r="H347" s="408">
        <f t="shared" si="71"/>
        <v>236266.40999999997</v>
      </c>
      <c r="I347" s="361">
        <f t="shared" si="65"/>
        <v>36.988696726277603</v>
      </c>
    </row>
    <row r="348" spans="1:9" ht="18" customHeight="1" thickBot="1" x14ac:dyDescent="0.25">
      <c r="A348" s="421" t="s">
        <v>292</v>
      </c>
      <c r="B348" s="325">
        <v>254880</v>
      </c>
      <c r="C348" s="327">
        <v>254880</v>
      </c>
      <c r="D348" s="408">
        <v>32346</v>
      </c>
      <c r="E348" s="436">
        <f t="shared" si="63"/>
        <v>12.690677966101696</v>
      </c>
      <c r="F348" s="437">
        <f t="shared" si="71"/>
        <v>1117573</v>
      </c>
      <c r="G348" s="409">
        <f t="shared" si="71"/>
        <v>1117573</v>
      </c>
      <c r="H348" s="408">
        <f t="shared" si="71"/>
        <v>181032</v>
      </c>
      <c r="I348" s="361">
        <f t="shared" si="65"/>
        <v>16.198673375251548</v>
      </c>
    </row>
    <row r="349" spans="1:9" ht="18" customHeight="1" thickBot="1" x14ac:dyDescent="0.25">
      <c r="A349" s="421" t="s">
        <v>293</v>
      </c>
      <c r="B349" s="325">
        <v>0</v>
      </c>
      <c r="C349" s="327">
        <v>0</v>
      </c>
      <c r="D349" s="408">
        <f>12381.6+126</f>
        <v>12507.6</v>
      </c>
      <c r="E349" s="436"/>
      <c r="F349" s="437">
        <f>SUM(F299+B349)</f>
        <v>0</v>
      </c>
      <c r="G349" s="409">
        <f>SUM(G299+C349)</f>
        <v>0</v>
      </c>
      <c r="H349" s="408">
        <f>SUM(H299+D349)+0.1</f>
        <v>14292.5</v>
      </c>
      <c r="I349" s="361"/>
    </row>
    <row r="350" spans="1:9" ht="19.899999999999999" customHeight="1" thickBot="1" x14ac:dyDescent="0.25">
      <c r="A350" s="330" t="s">
        <v>294</v>
      </c>
      <c r="B350" s="275">
        <f t="shared" ref="B350" si="72">SUM(B351:B352)</f>
        <v>0</v>
      </c>
      <c r="C350" s="276">
        <f t="shared" ref="C350:E350" si="73">SUM(C351:C352)</f>
        <v>0</v>
      </c>
      <c r="D350" s="276">
        <f t="shared" si="73"/>
        <v>20000</v>
      </c>
      <c r="E350" s="438">
        <f t="shared" si="73"/>
        <v>0</v>
      </c>
      <c r="F350" s="339">
        <f>SUM(F300+B350)</f>
        <v>0</v>
      </c>
      <c r="G350" s="344">
        <f>SUM(G300+C350)</f>
        <v>0</v>
      </c>
      <c r="H350" s="344">
        <f>SUM(H300+D350)</f>
        <v>23210</v>
      </c>
      <c r="I350" s="359"/>
    </row>
    <row r="351" spans="1:9" ht="19.899999999999999" customHeight="1" thickBot="1" x14ac:dyDescent="0.25">
      <c r="A351" s="331" t="s">
        <v>323</v>
      </c>
      <c r="B351" s="431">
        <v>0</v>
      </c>
      <c r="C351" s="306">
        <v>0</v>
      </c>
      <c r="D351" s="399">
        <v>20000</v>
      </c>
      <c r="E351" s="410"/>
      <c r="F351" s="431">
        <f t="shared" ref="F351:H353" si="74">F301+B351</f>
        <v>0</v>
      </c>
      <c r="G351" s="306">
        <f t="shared" si="74"/>
        <v>0</v>
      </c>
      <c r="H351" s="399">
        <f t="shared" si="74"/>
        <v>23210</v>
      </c>
      <c r="I351" s="360"/>
    </row>
    <row r="352" spans="1:9" ht="19.899999999999999" customHeight="1" thickBot="1" x14ac:dyDescent="0.25">
      <c r="A352" s="335" t="s">
        <v>296</v>
      </c>
      <c r="B352" s="434">
        <v>0</v>
      </c>
      <c r="C352" s="403">
        <v>0</v>
      </c>
      <c r="D352" s="406">
        <v>0</v>
      </c>
      <c r="E352" s="349"/>
      <c r="F352" s="434">
        <f t="shared" si="74"/>
        <v>0</v>
      </c>
      <c r="G352" s="403">
        <f t="shared" si="74"/>
        <v>0</v>
      </c>
      <c r="H352" s="406">
        <f t="shared" si="74"/>
        <v>0</v>
      </c>
      <c r="I352" s="349"/>
    </row>
    <row r="353" spans="1:9" ht="19.899999999999999" customHeight="1" thickBot="1" x14ac:dyDescent="0.25">
      <c r="A353" s="274" t="s">
        <v>297</v>
      </c>
      <c r="B353" s="339">
        <f>B322+B339+B350+B347+B348</f>
        <v>8862485</v>
      </c>
      <c r="C353" s="344">
        <f t="shared" ref="C353" si="75">C322+C339+C350+C347+C348</f>
        <v>8891757</v>
      </c>
      <c r="D353" s="344">
        <f>D322+D339+D350+D347+D348+D349</f>
        <v>3669702.8000000003</v>
      </c>
      <c r="E353" s="359">
        <f t="shared" si="63"/>
        <v>41.27083994760541</v>
      </c>
      <c r="F353" s="339">
        <f t="shared" si="74"/>
        <v>23327726</v>
      </c>
      <c r="G353" s="344">
        <f t="shared" si="74"/>
        <v>24400472</v>
      </c>
      <c r="H353" s="344">
        <f t="shared" si="74"/>
        <v>9984570.8600000013</v>
      </c>
      <c r="I353" s="359">
        <f t="shared" si="65"/>
        <v>40.919580817944841</v>
      </c>
    </row>
    <row r="354" spans="1:9" ht="19.899999999999999" customHeight="1" x14ac:dyDescent="0.2">
      <c r="A354" s="340" t="s">
        <v>298</v>
      </c>
      <c r="B354" s="279">
        <v>0</v>
      </c>
      <c r="C354" s="341">
        <v>0</v>
      </c>
      <c r="D354" s="342">
        <v>0</v>
      </c>
      <c r="E354" s="360"/>
      <c r="F354" s="439">
        <f t="shared" ref="F354:H356" si="76">SUM(F304+B354)</f>
        <v>0</v>
      </c>
      <c r="G354" s="341">
        <f t="shared" si="76"/>
        <v>0</v>
      </c>
      <c r="H354" s="342">
        <f t="shared" si="76"/>
        <v>0</v>
      </c>
      <c r="I354" s="360"/>
    </row>
    <row r="355" spans="1:9" s="377" customFormat="1" ht="19.899999999999999" customHeight="1" thickBot="1" x14ac:dyDescent="0.25">
      <c r="A355" s="343" t="s">
        <v>299</v>
      </c>
      <c r="B355" s="284">
        <v>0</v>
      </c>
      <c r="C355" s="308">
        <v>27500</v>
      </c>
      <c r="D355" s="401">
        <v>0</v>
      </c>
      <c r="E355" s="410">
        <f t="shared" si="63"/>
        <v>0</v>
      </c>
      <c r="F355" s="432">
        <f t="shared" si="76"/>
        <v>0</v>
      </c>
      <c r="G355" s="308">
        <f t="shared" si="76"/>
        <v>27500</v>
      </c>
      <c r="H355" s="401">
        <f t="shared" si="76"/>
        <v>0</v>
      </c>
      <c r="I355" s="410">
        <f t="shared" ref="I355" si="77">H355/G355*100</f>
        <v>0</v>
      </c>
    </row>
    <row r="356" spans="1:9" ht="19.899999999999999" customHeight="1" thickBot="1" x14ac:dyDescent="0.25">
      <c r="A356" s="274" t="s">
        <v>324</v>
      </c>
      <c r="B356" s="440">
        <f>SUM(B353:B355)</f>
        <v>8862485</v>
      </c>
      <c r="C356" s="411">
        <f>SUM(C353:C355)</f>
        <v>8919257</v>
      </c>
      <c r="D356" s="411">
        <f>SUM(D353:D355)</f>
        <v>3669702.8000000003</v>
      </c>
      <c r="E356" s="441">
        <f>D356/C356*100</f>
        <v>41.143593014530246</v>
      </c>
      <c r="F356" s="440">
        <f t="shared" si="76"/>
        <v>23327726</v>
      </c>
      <c r="G356" s="411">
        <f t="shared" si="76"/>
        <v>24427972</v>
      </c>
      <c r="H356" s="411">
        <f t="shared" si="76"/>
        <v>9984570.8600000013</v>
      </c>
      <c r="I356" s="412">
        <f t="shared" si="65"/>
        <v>40.873515247192856</v>
      </c>
    </row>
    <row r="357" spans="1:9" ht="15.75" customHeight="1" x14ac:dyDescent="0.2">
      <c r="A357" s="413" t="s">
        <v>325</v>
      </c>
    </row>
    <row r="358" spans="1:9" ht="20.25" customHeight="1" x14ac:dyDescent="0.2"/>
  </sheetData>
  <sheetProtection sheet="1" objects="1" scenarios="1"/>
  <mergeCells count="43">
    <mergeCell ref="A2:H2"/>
    <mergeCell ref="A3:H3"/>
    <mergeCell ref="H6:I6"/>
    <mergeCell ref="A7:D7"/>
    <mergeCell ref="A8:A9"/>
    <mergeCell ref="B8:E8"/>
    <mergeCell ref="F8:I8"/>
    <mergeCell ref="A58:H58"/>
    <mergeCell ref="A59:H59"/>
    <mergeCell ref="H61:I61"/>
    <mergeCell ref="A63:A64"/>
    <mergeCell ref="B63:E63"/>
    <mergeCell ref="F63:I63"/>
    <mergeCell ref="A109:H109"/>
    <mergeCell ref="A110:H110"/>
    <mergeCell ref="H112:I112"/>
    <mergeCell ref="A114:A115"/>
    <mergeCell ref="B114:E114"/>
    <mergeCell ref="F114:I114"/>
    <mergeCell ref="A160:H160"/>
    <mergeCell ref="A161:H161"/>
    <mergeCell ref="H165:I165"/>
    <mergeCell ref="A167:A168"/>
    <mergeCell ref="B167:E167"/>
    <mergeCell ref="F167:I167"/>
    <mergeCell ref="A211:H211"/>
    <mergeCell ref="A212:H212"/>
    <mergeCell ref="H216:I216"/>
    <mergeCell ref="A218:A219"/>
    <mergeCell ref="B218:E218"/>
    <mergeCell ref="F218:I218"/>
    <mergeCell ref="A261:H261"/>
    <mergeCell ref="A262:H262"/>
    <mergeCell ref="H264:I264"/>
    <mergeCell ref="A266:A267"/>
    <mergeCell ref="B266:E266"/>
    <mergeCell ref="F266:I266"/>
    <mergeCell ref="A308:H308"/>
    <mergeCell ref="A309:H309"/>
    <mergeCell ref="H311:I311"/>
    <mergeCell ref="A313:A314"/>
    <mergeCell ref="B313:E313"/>
    <mergeCell ref="F313:I313"/>
  </mergeCells>
  <pageMargins left="0.31496062992125984" right="0" top="0.55118110236220474" bottom="0.55118110236220474" header="0.11811023622047245" footer="0.11811023622047245"/>
  <pageSetup paperSize="9" scale="80" orientation="portrait" r:id="rId1"/>
  <rowBreaks count="4" manualBreakCount="4">
    <brk id="104" max="8" man="1"/>
    <brk id="155" max="16383" man="1"/>
    <brk id="207" max="16383" man="1"/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PRÍJMY </vt:lpstr>
      <vt:lpstr>VÝDAJE </vt:lpstr>
      <vt:lpstr>ostat.organ.</vt:lpstr>
      <vt:lpstr>org.školstva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Hokina Janka</cp:lastModifiedBy>
  <cp:lastPrinted>2020-09-09T07:07:11Z</cp:lastPrinted>
  <dcterms:created xsi:type="dcterms:W3CDTF">2018-07-20T10:31:50Z</dcterms:created>
  <dcterms:modified xsi:type="dcterms:W3CDTF">2020-09-10T10:53:56Z</dcterms:modified>
</cp:coreProperties>
</file>