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415" windowHeight="4995" activeTab="1"/>
  </bookViews>
  <sheets>
    <sheet name="PRÍJMY " sheetId="6" r:id="rId1"/>
    <sheet name="VÝDAJE " sheetId="7" r:id="rId2"/>
    <sheet name="VPS KZP MKP SSSP" sheetId="8" r:id="rId3"/>
    <sheet name="ZŠ a MŠ" sheetId="9" r:id="rId4"/>
  </sheets>
  <calcPr calcId="145621"/>
</workbook>
</file>

<file path=xl/calcChain.xml><?xml version="1.0" encoding="utf-8"?>
<calcChain xmlns="http://schemas.openxmlformats.org/spreadsheetml/2006/main">
  <c r="F424" i="9" l="1"/>
  <c r="D424" i="9"/>
  <c r="C424" i="9"/>
  <c r="B424" i="9"/>
  <c r="F423" i="9"/>
  <c r="D423" i="9"/>
  <c r="C423" i="9"/>
  <c r="B423" i="9"/>
  <c r="F422" i="9"/>
  <c r="D422" i="9"/>
  <c r="C422" i="9"/>
  <c r="B422" i="9"/>
  <c r="D421" i="9"/>
  <c r="C421" i="9"/>
  <c r="B421" i="9"/>
  <c r="D420" i="9"/>
  <c r="C420" i="9"/>
  <c r="B420" i="9"/>
  <c r="D419" i="9"/>
  <c r="C419" i="9"/>
  <c r="B419" i="9"/>
  <c r="H418" i="9"/>
  <c r="G418" i="9"/>
  <c r="F418" i="9"/>
  <c r="D418" i="9"/>
  <c r="C418" i="9"/>
  <c r="B418" i="9"/>
  <c r="H417" i="9"/>
  <c r="G417" i="9"/>
  <c r="F417" i="9"/>
  <c r="D417" i="9"/>
  <c r="C417" i="9"/>
  <c r="B417" i="9"/>
  <c r="B416" i="9"/>
  <c r="D415" i="9"/>
  <c r="E415" i="9" s="1"/>
  <c r="C415" i="9"/>
  <c r="B415" i="9"/>
  <c r="D414" i="9"/>
  <c r="C414" i="9"/>
  <c r="B414" i="9"/>
  <c r="D413" i="9"/>
  <c r="E413" i="9" s="1"/>
  <c r="C413" i="9"/>
  <c r="B413" i="9"/>
  <c r="D412" i="9"/>
  <c r="C412" i="9"/>
  <c r="B412" i="9"/>
  <c r="B411" i="9"/>
  <c r="B410" i="9"/>
  <c r="B408" i="9"/>
  <c r="D407" i="9"/>
  <c r="C407" i="9"/>
  <c r="B407" i="9"/>
  <c r="D406" i="9"/>
  <c r="C406" i="9"/>
  <c r="B406" i="9"/>
  <c r="D405" i="9"/>
  <c r="C405" i="9"/>
  <c r="B405" i="9"/>
  <c r="D404" i="9"/>
  <c r="C404" i="9"/>
  <c r="B404" i="9"/>
  <c r="D403" i="9"/>
  <c r="C403" i="9"/>
  <c r="B403" i="9"/>
  <c r="D402" i="9"/>
  <c r="C402" i="9"/>
  <c r="B402" i="9"/>
  <c r="D401" i="9"/>
  <c r="C401" i="9"/>
  <c r="B401" i="9"/>
  <c r="D400" i="9"/>
  <c r="C400" i="9"/>
  <c r="B400" i="9"/>
  <c r="D399" i="9"/>
  <c r="C399" i="9"/>
  <c r="B399" i="9"/>
  <c r="C397" i="9"/>
  <c r="B397" i="9"/>
  <c r="D396" i="9"/>
  <c r="C396" i="9"/>
  <c r="B396" i="9"/>
  <c r="D395" i="9"/>
  <c r="C395" i="9"/>
  <c r="B395" i="9"/>
  <c r="B393" i="9"/>
  <c r="D392" i="9"/>
  <c r="C392" i="9"/>
  <c r="B392" i="9"/>
  <c r="D391" i="9"/>
  <c r="C391" i="9"/>
  <c r="B391" i="9"/>
  <c r="D390" i="9"/>
  <c r="C390" i="9"/>
  <c r="B390" i="9"/>
  <c r="D389" i="9"/>
  <c r="C389" i="9"/>
  <c r="B389" i="9"/>
  <c r="E375" i="9"/>
  <c r="H370" i="9"/>
  <c r="G370" i="9"/>
  <c r="F370" i="9"/>
  <c r="D370" i="9"/>
  <c r="C370" i="9"/>
  <c r="B370" i="9"/>
  <c r="I368" i="9"/>
  <c r="E368" i="9"/>
  <c r="I367" i="9"/>
  <c r="E367" i="9"/>
  <c r="E366" i="9"/>
  <c r="E365" i="9"/>
  <c r="H364" i="9"/>
  <c r="H359" i="9" s="1"/>
  <c r="I359" i="9" s="1"/>
  <c r="G364" i="9"/>
  <c r="C416" i="9" s="1"/>
  <c r="E364" i="9"/>
  <c r="I363" i="9"/>
  <c r="E363" i="9"/>
  <c r="I362" i="9"/>
  <c r="E362" i="9"/>
  <c r="I361" i="9"/>
  <c r="E361" i="9"/>
  <c r="G359" i="9"/>
  <c r="F359" i="9"/>
  <c r="D359" i="9"/>
  <c r="C359" i="9"/>
  <c r="E359" i="9" s="1"/>
  <c r="B359" i="9"/>
  <c r="I358" i="9"/>
  <c r="D358" i="9"/>
  <c r="D410" i="9" s="1"/>
  <c r="C358" i="9"/>
  <c r="C410" i="9" s="1"/>
  <c r="F357" i="9"/>
  <c r="D357" i="9"/>
  <c r="C357" i="9"/>
  <c r="B357" i="9"/>
  <c r="H356" i="9"/>
  <c r="D408" i="9" s="1"/>
  <c r="G356" i="9"/>
  <c r="C408" i="9" s="1"/>
  <c r="E356" i="9"/>
  <c r="H346" i="9"/>
  <c r="G346" i="9"/>
  <c r="F346" i="9"/>
  <c r="C346" i="9"/>
  <c r="B346" i="9"/>
  <c r="B342" i="9" s="1"/>
  <c r="B373" i="9" s="1"/>
  <c r="B376" i="9" s="1"/>
  <c r="D345" i="9"/>
  <c r="D346" i="9" s="1"/>
  <c r="F342" i="9"/>
  <c r="F373" i="9" s="1"/>
  <c r="H341" i="9"/>
  <c r="I341" i="9" s="1"/>
  <c r="G341" i="9"/>
  <c r="D341" i="9"/>
  <c r="D336" i="9" s="1"/>
  <c r="E336" i="9" s="1"/>
  <c r="C341" i="9"/>
  <c r="I340" i="9"/>
  <c r="E340" i="9"/>
  <c r="I339" i="9"/>
  <c r="E339" i="9"/>
  <c r="I338" i="9"/>
  <c r="E338" i="9"/>
  <c r="I337" i="9"/>
  <c r="E337" i="9"/>
  <c r="H336" i="9"/>
  <c r="I336" i="9" s="1"/>
  <c r="G336" i="9"/>
  <c r="F336" i="9"/>
  <c r="C336" i="9"/>
  <c r="B336" i="9"/>
  <c r="H320" i="9"/>
  <c r="H427" i="9" s="1"/>
  <c r="G320" i="9"/>
  <c r="G427" i="9" s="1"/>
  <c r="F320" i="9"/>
  <c r="F375" i="9" s="1"/>
  <c r="H319" i="9"/>
  <c r="G319" i="9"/>
  <c r="F319" i="9"/>
  <c r="F374" i="9" s="1"/>
  <c r="B426" i="9" s="1"/>
  <c r="G317" i="9"/>
  <c r="G424" i="9" s="1"/>
  <c r="G316" i="9"/>
  <c r="G423" i="9" s="1"/>
  <c r="F315" i="9"/>
  <c r="D315" i="9"/>
  <c r="C315" i="9"/>
  <c r="B315" i="9"/>
  <c r="H314" i="9"/>
  <c r="H421" i="9" s="1"/>
  <c r="G314" i="9"/>
  <c r="G421" i="9" s="1"/>
  <c r="F314" i="9"/>
  <c r="F421" i="9" s="1"/>
  <c r="H313" i="9"/>
  <c r="H420" i="9" s="1"/>
  <c r="G313" i="9"/>
  <c r="G420" i="9" s="1"/>
  <c r="F313" i="9"/>
  <c r="F420" i="9" s="1"/>
  <c r="E313" i="9"/>
  <c r="H312" i="9"/>
  <c r="H419" i="9" s="1"/>
  <c r="G312" i="9"/>
  <c r="G419" i="9" s="1"/>
  <c r="F312" i="9"/>
  <c r="F419" i="9" s="1"/>
  <c r="E312" i="9"/>
  <c r="H311" i="9"/>
  <c r="H416" i="9" s="1"/>
  <c r="G311" i="9"/>
  <c r="G416" i="9" s="1"/>
  <c r="F311" i="9"/>
  <c r="F416" i="9" s="1"/>
  <c r="E311" i="9"/>
  <c r="H310" i="9"/>
  <c r="I310" i="9" s="1"/>
  <c r="G310" i="9"/>
  <c r="G415" i="9" s="1"/>
  <c r="F310" i="9"/>
  <c r="F415" i="9" s="1"/>
  <c r="E310" i="9"/>
  <c r="H309" i="9"/>
  <c r="H414" i="9" s="1"/>
  <c r="G309" i="9"/>
  <c r="G414" i="9" s="1"/>
  <c r="F309" i="9"/>
  <c r="F414" i="9" s="1"/>
  <c r="E309" i="9"/>
  <c r="H308" i="9"/>
  <c r="H413" i="9" s="1"/>
  <c r="G308" i="9"/>
  <c r="G413" i="9" s="1"/>
  <c r="F308" i="9"/>
  <c r="F413" i="9" s="1"/>
  <c r="E308" i="9"/>
  <c r="G307" i="9"/>
  <c r="G412" i="9" s="1"/>
  <c r="F307" i="9"/>
  <c r="F412" i="9" s="1"/>
  <c r="E307" i="9"/>
  <c r="D306" i="9"/>
  <c r="E306" i="9" s="1"/>
  <c r="C306" i="9"/>
  <c r="B306" i="9"/>
  <c r="G305" i="9"/>
  <c r="G410" i="9" s="1"/>
  <c r="F305" i="9"/>
  <c r="F410" i="9" s="1"/>
  <c r="D305" i="9"/>
  <c r="E305" i="9" s="1"/>
  <c r="D304" i="9"/>
  <c r="C304" i="9"/>
  <c r="E304" i="9" s="1"/>
  <c r="B304" i="9"/>
  <c r="H303" i="9"/>
  <c r="H408" i="9" s="1"/>
  <c r="G303" i="9"/>
  <c r="G408" i="9" s="1"/>
  <c r="F303" i="9"/>
  <c r="F408" i="9" s="1"/>
  <c r="H302" i="9"/>
  <c r="H407" i="9" s="1"/>
  <c r="G302" i="9"/>
  <c r="G407" i="9" s="1"/>
  <c r="F302" i="9"/>
  <c r="F407" i="9" s="1"/>
  <c r="E302" i="9"/>
  <c r="H301" i="9"/>
  <c r="H406" i="9" s="1"/>
  <c r="G301" i="9"/>
  <c r="G406" i="9" s="1"/>
  <c r="F301" i="9"/>
  <c r="F406" i="9" s="1"/>
  <c r="H300" i="9"/>
  <c r="H405" i="9" s="1"/>
  <c r="G300" i="9"/>
  <c r="G405" i="9" s="1"/>
  <c r="F300" i="9"/>
  <c r="F405" i="9" s="1"/>
  <c r="E300" i="9"/>
  <c r="H299" i="9"/>
  <c r="H404" i="9" s="1"/>
  <c r="G299" i="9"/>
  <c r="G404" i="9" s="1"/>
  <c r="F299" i="9"/>
  <c r="F404" i="9" s="1"/>
  <c r="E299" i="9"/>
  <c r="H298" i="9"/>
  <c r="H403" i="9" s="1"/>
  <c r="G298" i="9"/>
  <c r="G403" i="9" s="1"/>
  <c r="F298" i="9"/>
  <c r="F403" i="9" s="1"/>
  <c r="H297" i="9"/>
  <c r="H402" i="9" s="1"/>
  <c r="G297" i="9"/>
  <c r="G402" i="9" s="1"/>
  <c r="F297" i="9"/>
  <c r="F402" i="9" s="1"/>
  <c r="H296" i="9"/>
  <c r="H401" i="9" s="1"/>
  <c r="G296" i="9"/>
  <c r="G401" i="9" s="1"/>
  <c r="F296" i="9"/>
  <c r="F401" i="9" s="1"/>
  <c r="E296" i="9"/>
  <c r="H295" i="9"/>
  <c r="H400" i="9" s="1"/>
  <c r="G295" i="9"/>
  <c r="G400" i="9" s="1"/>
  <c r="F295" i="9"/>
  <c r="F400" i="9" s="1"/>
  <c r="E295" i="9"/>
  <c r="H294" i="9"/>
  <c r="H399" i="9" s="1"/>
  <c r="G294" i="9"/>
  <c r="G399" i="9" s="1"/>
  <c r="F294" i="9"/>
  <c r="F399" i="9" s="1"/>
  <c r="E294" i="9"/>
  <c r="D293" i="9"/>
  <c r="D289" i="9" s="1"/>
  <c r="D318" i="9" s="1"/>
  <c r="C293" i="9"/>
  <c r="B293" i="9"/>
  <c r="B289" i="9" s="1"/>
  <c r="B318" i="9" s="1"/>
  <c r="B321" i="9" s="1"/>
  <c r="G292" i="9"/>
  <c r="G397" i="9" s="1"/>
  <c r="F292" i="9"/>
  <c r="F397" i="9" s="1"/>
  <c r="H291" i="9"/>
  <c r="H396" i="9" s="1"/>
  <c r="G291" i="9"/>
  <c r="G396" i="9" s="1"/>
  <c r="F291" i="9"/>
  <c r="F396" i="9" s="1"/>
  <c r="E291" i="9"/>
  <c r="H290" i="9"/>
  <c r="H395" i="9" s="1"/>
  <c r="G290" i="9"/>
  <c r="G395" i="9" s="1"/>
  <c r="G398" i="9" s="1"/>
  <c r="F290" i="9"/>
  <c r="F395" i="9" s="1"/>
  <c r="E290" i="9"/>
  <c r="C289" i="9"/>
  <c r="C318" i="9" s="1"/>
  <c r="C321" i="9" s="1"/>
  <c r="G288" i="9"/>
  <c r="G393" i="9" s="1"/>
  <c r="F288" i="9"/>
  <c r="F393" i="9" s="1"/>
  <c r="D288" i="9"/>
  <c r="E288" i="9" s="1"/>
  <c r="H287" i="9"/>
  <c r="H392" i="9" s="1"/>
  <c r="G287" i="9"/>
  <c r="G392" i="9" s="1"/>
  <c r="F287" i="9"/>
  <c r="F392" i="9" s="1"/>
  <c r="E287" i="9"/>
  <c r="H286" i="9"/>
  <c r="H391" i="9" s="1"/>
  <c r="G286" i="9"/>
  <c r="G391" i="9" s="1"/>
  <c r="F286" i="9"/>
  <c r="F391" i="9" s="1"/>
  <c r="E286" i="9"/>
  <c r="H285" i="9"/>
  <c r="H390" i="9" s="1"/>
  <c r="G285" i="9"/>
  <c r="G390" i="9" s="1"/>
  <c r="F285" i="9"/>
  <c r="F390" i="9" s="1"/>
  <c r="E285" i="9"/>
  <c r="H284" i="9"/>
  <c r="H389" i="9" s="1"/>
  <c r="G284" i="9"/>
  <c r="G389" i="9" s="1"/>
  <c r="G388" i="9" s="1"/>
  <c r="F284" i="9"/>
  <c r="F389" i="9" s="1"/>
  <c r="E284" i="9"/>
  <c r="C283" i="9"/>
  <c r="B283" i="9"/>
  <c r="H264" i="9"/>
  <c r="G264" i="9"/>
  <c r="F264" i="9"/>
  <c r="D264" i="9"/>
  <c r="C264" i="9"/>
  <c r="B264" i="9"/>
  <c r="I262" i="9"/>
  <c r="E262" i="9"/>
  <c r="I261" i="9"/>
  <c r="E261" i="9"/>
  <c r="I260" i="9"/>
  <c r="E260" i="9"/>
  <c r="I259" i="9"/>
  <c r="E259" i="9"/>
  <c r="I258" i="9"/>
  <c r="E258" i="9"/>
  <c r="I257" i="9"/>
  <c r="E257" i="9"/>
  <c r="I256" i="9"/>
  <c r="E256" i="9"/>
  <c r="H255" i="9"/>
  <c r="G255" i="9"/>
  <c r="F255" i="9"/>
  <c r="D255" i="9"/>
  <c r="C255" i="9"/>
  <c r="B255" i="9"/>
  <c r="H254" i="9"/>
  <c r="D254" i="9"/>
  <c r="H253" i="9"/>
  <c r="G253" i="9"/>
  <c r="F253" i="9"/>
  <c r="D253" i="9"/>
  <c r="C253" i="9"/>
  <c r="B253" i="9"/>
  <c r="I249" i="9"/>
  <c r="E249" i="9"/>
  <c r="I248" i="9"/>
  <c r="E248" i="9"/>
  <c r="E247" i="9"/>
  <c r="E245" i="9"/>
  <c r="I244" i="9"/>
  <c r="E244" i="9"/>
  <c r="I243" i="9"/>
  <c r="E243" i="9"/>
  <c r="G242" i="9"/>
  <c r="G238" i="9" s="1"/>
  <c r="G267" i="9" s="1"/>
  <c r="G270" i="9" s="1"/>
  <c r="F242" i="9"/>
  <c r="C242" i="9"/>
  <c r="C238" i="9" s="1"/>
  <c r="C267" i="9" s="1"/>
  <c r="C270" i="9" s="1"/>
  <c r="B242" i="9"/>
  <c r="H241" i="9"/>
  <c r="H242" i="9" s="1"/>
  <c r="D241" i="9"/>
  <c r="D242" i="9" s="1"/>
  <c r="I240" i="9"/>
  <c r="E240" i="9"/>
  <c r="I239" i="9"/>
  <c r="E239" i="9"/>
  <c r="F238" i="9"/>
  <c r="F267" i="9" s="1"/>
  <c r="F270" i="9" s="1"/>
  <c r="B238" i="9"/>
  <c r="B267" i="9" s="1"/>
  <c r="B270" i="9" s="1"/>
  <c r="H237" i="9"/>
  <c r="I237" i="9" s="1"/>
  <c r="D237" i="9"/>
  <c r="E237" i="9" s="1"/>
  <c r="I236" i="9"/>
  <c r="E236" i="9"/>
  <c r="I235" i="9"/>
  <c r="E235" i="9"/>
  <c r="I234" i="9"/>
  <c r="E234" i="9"/>
  <c r="I233" i="9"/>
  <c r="E233" i="9"/>
  <c r="G232" i="9"/>
  <c r="F232" i="9"/>
  <c r="D232" i="9"/>
  <c r="E232" i="9" s="1"/>
  <c r="C232" i="9"/>
  <c r="B232" i="9"/>
  <c r="I213" i="9"/>
  <c r="H212" i="9"/>
  <c r="G212" i="9"/>
  <c r="I212" i="9" s="1"/>
  <c r="F212" i="9"/>
  <c r="D212" i="9"/>
  <c r="C212" i="9"/>
  <c r="B212" i="9"/>
  <c r="I210" i="9"/>
  <c r="E210" i="9"/>
  <c r="I209" i="9"/>
  <c r="E209" i="9"/>
  <c r="I208" i="9"/>
  <c r="E208" i="9"/>
  <c r="I207" i="9"/>
  <c r="E207" i="9"/>
  <c r="I206" i="9"/>
  <c r="E206" i="9"/>
  <c r="I205" i="9"/>
  <c r="E205" i="9"/>
  <c r="I204" i="9"/>
  <c r="E204" i="9"/>
  <c r="H203" i="9"/>
  <c r="G203" i="9"/>
  <c r="F203" i="9"/>
  <c r="D203" i="9"/>
  <c r="E203" i="9" s="1"/>
  <c r="C203" i="9"/>
  <c r="B203" i="9"/>
  <c r="H201" i="9"/>
  <c r="G201" i="9"/>
  <c r="F201" i="9"/>
  <c r="D201" i="9"/>
  <c r="E201" i="9" s="1"/>
  <c r="C201" i="9"/>
  <c r="B201" i="9"/>
  <c r="B186" i="9" s="1"/>
  <c r="B215" i="9" s="1"/>
  <c r="B218" i="9" s="1"/>
  <c r="E198" i="9"/>
  <c r="I196" i="9"/>
  <c r="E196" i="9"/>
  <c r="I193" i="9"/>
  <c r="E193" i="9"/>
  <c r="I192" i="9"/>
  <c r="E192" i="9"/>
  <c r="I191" i="9"/>
  <c r="E191" i="9"/>
  <c r="G190" i="9"/>
  <c r="F190" i="9"/>
  <c r="C190" i="9"/>
  <c r="C186" i="9" s="1"/>
  <c r="C215" i="9" s="1"/>
  <c r="C218" i="9" s="1"/>
  <c r="B190" i="9"/>
  <c r="H189" i="9"/>
  <c r="H190" i="9" s="1"/>
  <c r="D189" i="9"/>
  <c r="D190" i="9" s="1"/>
  <c r="I188" i="9"/>
  <c r="E188" i="9"/>
  <c r="I187" i="9"/>
  <c r="E187" i="9"/>
  <c r="G186" i="9"/>
  <c r="G215" i="9" s="1"/>
  <c r="G218" i="9" s="1"/>
  <c r="H185" i="9"/>
  <c r="I185" i="9" s="1"/>
  <c r="D185" i="9"/>
  <c r="I184" i="9"/>
  <c r="E184" i="9"/>
  <c r="I183" i="9"/>
  <c r="E183" i="9"/>
  <c r="I182" i="9"/>
  <c r="E182" i="9"/>
  <c r="I181" i="9"/>
  <c r="E181" i="9"/>
  <c r="H180" i="9"/>
  <c r="G180" i="9"/>
  <c r="F180" i="9"/>
  <c r="D180" i="9"/>
  <c r="C180" i="9"/>
  <c r="B180" i="9"/>
  <c r="H156" i="9"/>
  <c r="G156" i="9"/>
  <c r="F156" i="9"/>
  <c r="D156" i="9"/>
  <c r="C156" i="9"/>
  <c r="B156" i="9"/>
  <c r="I154" i="9"/>
  <c r="E154" i="9"/>
  <c r="I153" i="9"/>
  <c r="E153" i="9"/>
  <c r="I152" i="9"/>
  <c r="E152" i="9"/>
  <c r="I151" i="9"/>
  <c r="E151" i="9"/>
  <c r="I150" i="9"/>
  <c r="E150" i="9"/>
  <c r="I149" i="9"/>
  <c r="E149" i="9"/>
  <c r="I148" i="9"/>
  <c r="D148" i="9"/>
  <c r="H307" i="9" s="1"/>
  <c r="H147" i="9"/>
  <c r="I147" i="9" s="1"/>
  <c r="G147" i="9"/>
  <c r="F147" i="9"/>
  <c r="D147" i="9"/>
  <c r="E147" i="9" s="1"/>
  <c r="C147" i="9"/>
  <c r="B147" i="9"/>
  <c r="H146" i="9"/>
  <c r="I146" i="9" s="1"/>
  <c r="D146" i="9"/>
  <c r="H305" i="9" s="1"/>
  <c r="H145" i="9"/>
  <c r="I145" i="9" s="1"/>
  <c r="G145" i="9"/>
  <c r="F145" i="9"/>
  <c r="D145" i="9"/>
  <c r="E145" i="9" s="1"/>
  <c r="C145" i="9"/>
  <c r="B145" i="9"/>
  <c r="I140" i="9"/>
  <c r="E140" i="9"/>
  <c r="I137" i="9"/>
  <c r="E137" i="9"/>
  <c r="E136" i="9"/>
  <c r="I135" i="9"/>
  <c r="E135" i="9"/>
  <c r="H134" i="9"/>
  <c r="G134" i="9"/>
  <c r="G130" i="9" s="1"/>
  <c r="G159" i="9" s="1"/>
  <c r="G162" i="9" s="1"/>
  <c r="F134" i="9"/>
  <c r="F130" i="9" s="1"/>
  <c r="F159" i="9" s="1"/>
  <c r="F162" i="9" s="1"/>
  <c r="C134" i="9"/>
  <c r="B134" i="9"/>
  <c r="D133" i="9"/>
  <c r="D134" i="9" s="1"/>
  <c r="E134" i="9" s="1"/>
  <c r="I132" i="9"/>
  <c r="E132" i="9"/>
  <c r="I131" i="9"/>
  <c r="E131" i="9"/>
  <c r="H129" i="9"/>
  <c r="I129" i="9" s="1"/>
  <c r="D129" i="9"/>
  <c r="E129" i="9" s="1"/>
  <c r="I128" i="9"/>
  <c r="E128" i="9"/>
  <c r="I127" i="9"/>
  <c r="E127" i="9"/>
  <c r="I126" i="9"/>
  <c r="E126" i="9"/>
  <c r="I125" i="9"/>
  <c r="E125" i="9"/>
  <c r="G124" i="9"/>
  <c r="F124" i="9"/>
  <c r="D124" i="9"/>
  <c r="C124" i="9"/>
  <c r="B124" i="9"/>
  <c r="D103" i="9"/>
  <c r="H317" i="9" s="1"/>
  <c r="H424" i="9" s="1"/>
  <c r="H101" i="9"/>
  <c r="G101" i="9"/>
  <c r="F101" i="9"/>
  <c r="D101" i="9"/>
  <c r="C101" i="9"/>
  <c r="B101" i="9"/>
  <c r="I99" i="9"/>
  <c r="E99" i="9"/>
  <c r="I98" i="9"/>
  <c r="E98" i="9"/>
  <c r="I97" i="9"/>
  <c r="E97" i="9"/>
  <c r="I96" i="9"/>
  <c r="E96" i="9"/>
  <c r="I95" i="9"/>
  <c r="E95" i="9"/>
  <c r="I94" i="9"/>
  <c r="E94" i="9"/>
  <c r="I93" i="9"/>
  <c r="E93" i="9"/>
  <c r="H92" i="9"/>
  <c r="G92" i="9"/>
  <c r="F92" i="9"/>
  <c r="D92" i="9"/>
  <c r="C92" i="9"/>
  <c r="B92" i="9"/>
  <c r="H90" i="9"/>
  <c r="G90" i="9"/>
  <c r="F90" i="9"/>
  <c r="D90" i="9"/>
  <c r="C90" i="9"/>
  <c r="B90" i="9"/>
  <c r="I86" i="9"/>
  <c r="E86" i="9"/>
  <c r="I85" i="9"/>
  <c r="E85" i="9"/>
  <c r="I82" i="9"/>
  <c r="E82" i="9"/>
  <c r="I81" i="9"/>
  <c r="I80" i="9"/>
  <c r="E80" i="9"/>
  <c r="G79" i="9"/>
  <c r="F79" i="9"/>
  <c r="C79" i="9"/>
  <c r="B79" i="9"/>
  <c r="H78" i="9"/>
  <c r="H79" i="9" s="1"/>
  <c r="D78" i="9"/>
  <c r="I77" i="9"/>
  <c r="E77" i="9"/>
  <c r="I76" i="9"/>
  <c r="E76" i="9"/>
  <c r="G75" i="9"/>
  <c r="G104" i="9" s="1"/>
  <c r="G107" i="9" s="1"/>
  <c r="I74" i="9"/>
  <c r="H74" i="9"/>
  <c r="E74" i="9"/>
  <c r="D74" i="9"/>
  <c r="I73" i="9"/>
  <c r="E73" i="9"/>
  <c r="I72" i="9"/>
  <c r="E72" i="9"/>
  <c r="I71" i="9"/>
  <c r="E71" i="9"/>
  <c r="I70" i="9"/>
  <c r="E70" i="9"/>
  <c r="H69" i="9"/>
  <c r="G69" i="9"/>
  <c r="F69" i="9"/>
  <c r="D69" i="9"/>
  <c r="C69" i="9"/>
  <c r="E69" i="9" s="1"/>
  <c r="B69" i="9"/>
  <c r="H46" i="9"/>
  <c r="H316" i="9" s="1"/>
  <c r="E46" i="9"/>
  <c r="G45" i="9"/>
  <c r="F45" i="9"/>
  <c r="D45" i="9"/>
  <c r="E45" i="9" s="1"/>
  <c r="C45" i="9"/>
  <c r="B45" i="9"/>
  <c r="I43" i="9"/>
  <c r="E43" i="9"/>
  <c r="I42" i="9"/>
  <c r="E42" i="9"/>
  <c r="I41" i="9"/>
  <c r="E41" i="9"/>
  <c r="I40" i="9"/>
  <c r="E40" i="9"/>
  <c r="I39" i="9"/>
  <c r="E39" i="9"/>
  <c r="I38" i="9"/>
  <c r="E38" i="9"/>
  <c r="I37" i="9"/>
  <c r="E37" i="9"/>
  <c r="H36" i="9"/>
  <c r="G36" i="9"/>
  <c r="F36" i="9"/>
  <c r="D36" i="9"/>
  <c r="E36" i="9" s="1"/>
  <c r="C36" i="9"/>
  <c r="B36" i="9"/>
  <c r="H34" i="9"/>
  <c r="G34" i="9"/>
  <c r="F34" i="9"/>
  <c r="D34" i="9"/>
  <c r="E34" i="9" s="1"/>
  <c r="C34" i="9"/>
  <c r="B34" i="9"/>
  <c r="I30" i="9"/>
  <c r="E30" i="9"/>
  <c r="I29" i="9"/>
  <c r="E29" i="9"/>
  <c r="I26" i="9"/>
  <c r="E26" i="9"/>
  <c r="I25" i="9"/>
  <c r="E25" i="9"/>
  <c r="I24" i="9"/>
  <c r="E24" i="9"/>
  <c r="H23" i="9"/>
  <c r="G23" i="9"/>
  <c r="F23" i="9"/>
  <c r="F19" i="9" s="1"/>
  <c r="F48" i="9" s="1"/>
  <c r="F51" i="9" s="1"/>
  <c r="D23" i="9"/>
  <c r="E23" i="9" s="1"/>
  <c r="C23" i="9"/>
  <c r="B23" i="9"/>
  <c r="B19" i="9" s="1"/>
  <c r="B48" i="9" s="1"/>
  <c r="B51" i="9" s="1"/>
  <c r="I21" i="9"/>
  <c r="E21" i="9"/>
  <c r="I20" i="9"/>
  <c r="E20" i="9"/>
  <c r="H19" i="9"/>
  <c r="G19" i="9"/>
  <c r="G48" i="9" s="1"/>
  <c r="G51" i="9" s="1"/>
  <c r="C19" i="9"/>
  <c r="C48" i="9" s="1"/>
  <c r="C51" i="9" s="1"/>
  <c r="H18" i="9"/>
  <c r="I18" i="9" s="1"/>
  <c r="D18" i="9"/>
  <c r="E18" i="9" s="1"/>
  <c r="I17" i="9"/>
  <c r="E17" i="9"/>
  <c r="I16" i="9"/>
  <c r="E16" i="9"/>
  <c r="I15" i="9"/>
  <c r="E15" i="9"/>
  <c r="I14" i="9"/>
  <c r="E14" i="9"/>
  <c r="G13" i="9"/>
  <c r="F13" i="9"/>
  <c r="D13" i="9"/>
  <c r="C13" i="9"/>
  <c r="B13" i="9"/>
  <c r="E418" i="9" l="1"/>
  <c r="I401" i="9"/>
  <c r="G411" i="9"/>
  <c r="I413" i="9"/>
  <c r="I414" i="9"/>
  <c r="I416" i="9"/>
  <c r="C75" i="9"/>
  <c r="C104" i="9" s="1"/>
  <c r="C107" i="9" s="1"/>
  <c r="B75" i="9"/>
  <c r="B104" i="9" s="1"/>
  <c r="B107" i="9" s="1"/>
  <c r="E92" i="9"/>
  <c r="B130" i="9"/>
  <c r="B159" i="9" s="1"/>
  <c r="B162" i="9" s="1"/>
  <c r="E180" i="9"/>
  <c r="E253" i="9"/>
  <c r="E255" i="9"/>
  <c r="I396" i="9"/>
  <c r="E293" i="9"/>
  <c r="D342" i="9"/>
  <c r="C411" i="9"/>
  <c r="E390" i="9"/>
  <c r="B388" i="9"/>
  <c r="B398" i="9"/>
  <c r="B409" i="9"/>
  <c r="H13" i="9"/>
  <c r="I13" i="9" s="1"/>
  <c r="E13" i="9"/>
  <c r="I69" i="9"/>
  <c r="E90" i="9"/>
  <c r="E124" i="9"/>
  <c r="H124" i="9"/>
  <c r="C130" i="9"/>
  <c r="C159" i="9" s="1"/>
  <c r="C162" i="9" s="1"/>
  <c r="E146" i="9"/>
  <c r="E148" i="9"/>
  <c r="D283" i="9"/>
  <c r="E283" i="9" s="1"/>
  <c r="I390" i="9"/>
  <c r="I392" i="9"/>
  <c r="I407" i="9"/>
  <c r="F411" i="9"/>
  <c r="C393" i="9"/>
  <c r="C388" i="9" s="1"/>
  <c r="G315" i="9"/>
  <c r="I242" i="9"/>
  <c r="H238" i="9"/>
  <c r="H267" i="9" s="1"/>
  <c r="I23" i="9"/>
  <c r="I34" i="9"/>
  <c r="F75" i="9"/>
  <c r="F104" i="9" s="1"/>
  <c r="F107" i="9" s="1"/>
  <c r="I92" i="9"/>
  <c r="I134" i="9"/>
  <c r="I201" i="9"/>
  <c r="I253" i="9"/>
  <c r="I255" i="9"/>
  <c r="F283" i="9"/>
  <c r="I298" i="9"/>
  <c r="I404" i="9"/>
  <c r="I417" i="9"/>
  <c r="E420" i="9"/>
  <c r="I284" i="9"/>
  <c r="I295" i="9"/>
  <c r="D393" i="9"/>
  <c r="C342" i="9"/>
  <c r="C373" i="9" s="1"/>
  <c r="C376" i="9" s="1"/>
  <c r="E389" i="9"/>
  <c r="C398" i="9"/>
  <c r="E417" i="9"/>
  <c r="E419" i="9"/>
  <c r="I36" i="9"/>
  <c r="H292" i="9"/>
  <c r="H397" i="9" s="1"/>
  <c r="I90" i="9"/>
  <c r="I124" i="9"/>
  <c r="I180" i="9"/>
  <c r="F186" i="9"/>
  <c r="F215" i="9" s="1"/>
  <c r="F218" i="9" s="1"/>
  <c r="I203" i="9"/>
  <c r="H232" i="9"/>
  <c r="I232" i="9" s="1"/>
  <c r="F409" i="9"/>
  <c r="I408" i="9"/>
  <c r="G306" i="9"/>
  <c r="E357" i="9"/>
  <c r="E392" i="9"/>
  <c r="E414" i="9"/>
  <c r="I418" i="9"/>
  <c r="D19" i="9"/>
  <c r="D48" i="9" s="1"/>
  <c r="D51" i="9" s="1"/>
  <c r="E51" i="9" s="1"/>
  <c r="E391" i="9"/>
  <c r="H410" i="9"/>
  <c r="I410" i="9" s="1"/>
  <c r="I305" i="9"/>
  <c r="E190" i="9"/>
  <c r="D186" i="9"/>
  <c r="I190" i="9"/>
  <c r="H186" i="9"/>
  <c r="H270" i="9"/>
  <c r="I270" i="9" s="1"/>
  <c r="I267" i="9"/>
  <c r="D238" i="9"/>
  <c r="E242" i="9"/>
  <c r="E48" i="9"/>
  <c r="I79" i="9"/>
  <c r="H75" i="9"/>
  <c r="I19" i="9"/>
  <c r="D130" i="9"/>
  <c r="H130" i="9"/>
  <c r="I389" i="9"/>
  <c r="I287" i="9"/>
  <c r="F398" i="9"/>
  <c r="I291" i="9"/>
  <c r="F293" i="9"/>
  <c r="I294" i="9"/>
  <c r="I400" i="9"/>
  <c r="I403" i="9"/>
  <c r="I302" i="9"/>
  <c r="F304" i="9"/>
  <c r="I316" i="9"/>
  <c r="H423" i="9"/>
  <c r="H288" i="9"/>
  <c r="D321" i="9"/>
  <c r="E321" i="9" s="1"/>
  <c r="E318" i="9"/>
  <c r="G293" i="9"/>
  <c r="G304" i="9"/>
  <c r="I419" i="9"/>
  <c r="I420" i="9"/>
  <c r="I427" i="9"/>
  <c r="E393" i="9"/>
  <c r="D388" i="9"/>
  <c r="E388" i="9" s="1"/>
  <c r="E410" i="9"/>
  <c r="C409" i="9"/>
  <c r="D79" i="9"/>
  <c r="H412" i="9"/>
  <c r="H306" i="9"/>
  <c r="I306" i="9" s="1"/>
  <c r="I307" i="9"/>
  <c r="I238" i="9"/>
  <c r="G283" i="9"/>
  <c r="F388" i="9"/>
  <c r="I285" i="9"/>
  <c r="I391" i="9"/>
  <c r="E289" i="9"/>
  <c r="I395" i="9"/>
  <c r="H398" i="9"/>
  <c r="H293" i="9"/>
  <c r="G409" i="9"/>
  <c r="G394" i="9" s="1"/>
  <c r="I296" i="9"/>
  <c r="I299" i="9"/>
  <c r="I405" i="9"/>
  <c r="I406" i="9"/>
  <c r="H304" i="9"/>
  <c r="I304" i="9" s="1"/>
  <c r="G422" i="9"/>
  <c r="F376" i="9"/>
  <c r="D409" i="9"/>
  <c r="E409" i="9" s="1"/>
  <c r="H315" i="9"/>
  <c r="H45" i="9"/>
  <c r="H48" i="9" s="1"/>
  <c r="I286" i="9"/>
  <c r="I290" i="9"/>
  <c r="H409" i="9"/>
  <c r="I399" i="9"/>
  <c r="I300" i="9"/>
  <c r="I301" i="9"/>
  <c r="D373" i="9"/>
  <c r="E342" i="9"/>
  <c r="E408" i="9"/>
  <c r="F306" i="9"/>
  <c r="I311" i="9"/>
  <c r="I356" i="9"/>
  <c r="G374" i="9"/>
  <c r="C426" i="9" s="1"/>
  <c r="D397" i="9"/>
  <c r="D398" i="9" s="1"/>
  <c r="D394" i="9" s="1"/>
  <c r="B427" i="9"/>
  <c r="F427" i="9"/>
  <c r="I308" i="9"/>
  <c r="I312" i="9"/>
  <c r="H374" i="9"/>
  <c r="D426" i="9" s="1"/>
  <c r="F426" i="9"/>
  <c r="C427" i="9"/>
  <c r="I309" i="9"/>
  <c r="I313" i="9"/>
  <c r="E341" i="9"/>
  <c r="G357" i="9"/>
  <c r="G342" i="9" s="1"/>
  <c r="G373" i="9" s="1"/>
  <c r="G376" i="9" s="1"/>
  <c r="I364" i="9"/>
  <c r="H415" i="9"/>
  <c r="I415" i="9" s="1"/>
  <c r="D416" i="9"/>
  <c r="E416" i="9" s="1"/>
  <c r="D427" i="9"/>
  <c r="E427" i="9" s="1"/>
  <c r="H357" i="9"/>
  <c r="E358" i="9"/>
  <c r="D411" i="9"/>
  <c r="F394" i="9" l="1"/>
  <c r="F425" i="9" s="1"/>
  <c r="G425" i="9"/>
  <c r="E411" i="9"/>
  <c r="F289" i="9"/>
  <c r="E19" i="9"/>
  <c r="B394" i="9"/>
  <c r="B425" i="9" s="1"/>
  <c r="B428" i="9" s="1"/>
  <c r="I409" i="9"/>
  <c r="I315" i="9"/>
  <c r="C394" i="9"/>
  <c r="C425" i="9" s="1"/>
  <c r="C428" i="9" s="1"/>
  <c r="I48" i="9"/>
  <c r="H51" i="9"/>
  <c r="I51" i="9" s="1"/>
  <c r="I357" i="9"/>
  <c r="H342" i="9"/>
  <c r="I398" i="9"/>
  <c r="H394" i="9"/>
  <c r="D215" i="9"/>
  <c r="E186" i="9"/>
  <c r="F428" i="9"/>
  <c r="H159" i="9"/>
  <c r="I130" i="9"/>
  <c r="I75" i="9"/>
  <c r="H104" i="9"/>
  <c r="D425" i="9"/>
  <c r="I412" i="9"/>
  <c r="H411" i="9"/>
  <c r="I411" i="9" s="1"/>
  <c r="G426" i="9"/>
  <c r="G428" i="9" s="1"/>
  <c r="G289" i="9"/>
  <c r="G318" i="9" s="1"/>
  <c r="G321" i="9" s="1"/>
  <c r="H393" i="9"/>
  <c r="H283" i="9"/>
  <c r="I283" i="9" s="1"/>
  <c r="I288" i="9"/>
  <c r="D159" i="9"/>
  <c r="E130" i="9"/>
  <c r="D267" i="9"/>
  <c r="E238" i="9"/>
  <c r="H215" i="9"/>
  <c r="I186" i="9"/>
  <c r="D376" i="9"/>
  <c r="E376" i="9" s="1"/>
  <c r="E373" i="9"/>
  <c r="H426" i="9"/>
  <c r="I293" i="9"/>
  <c r="H289" i="9"/>
  <c r="E79" i="9"/>
  <c r="D75" i="9"/>
  <c r="I423" i="9"/>
  <c r="H422" i="9"/>
  <c r="I422" i="9" s="1"/>
  <c r="F318" i="9"/>
  <c r="F321" i="9" s="1"/>
  <c r="E394" i="9" l="1"/>
  <c r="I159" i="9"/>
  <c r="H162" i="9"/>
  <c r="I162" i="9" s="1"/>
  <c r="E215" i="9"/>
  <c r="D218" i="9"/>
  <c r="E218" i="9" s="1"/>
  <c r="H318" i="9"/>
  <c r="I289" i="9"/>
  <c r="D270" i="9"/>
  <c r="E270" i="9" s="1"/>
  <c r="E267" i="9"/>
  <c r="I104" i="9"/>
  <c r="H107" i="9"/>
  <c r="I107" i="9" s="1"/>
  <c r="I394" i="9"/>
  <c r="H425" i="9"/>
  <c r="I393" i="9"/>
  <c r="H388" i="9"/>
  <c r="I388" i="9" s="1"/>
  <c r="E75" i="9"/>
  <c r="D104" i="9"/>
  <c r="I215" i="9"/>
  <c r="H218" i="9"/>
  <c r="I218" i="9" s="1"/>
  <c r="E159" i="9"/>
  <c r="D162" i="9"/>
  <c r="E162" i="9" s="1"/>
  <c r="D428" i="9"/>
  <c r="E428" i="9" s="1"/>
  <c r="E425" i="9"/>
  <c r="H373" i="9"/>
  <c r="I342" i="9"/>
  <c r="E104" i="9" l="1"/>
  <c r="D107" i="9"/>
  <c r="E107" i="9" s="1"/>
  <c r="H428" i="9"/>
  <c r="I428" i="9" s="1"/>
  <c r="I425" i="9"/>
  <c r="H376" i="9"/>
  <c r="I376" i="9" s="1"/>
  <c r="I373" i="9"/>
  <c r="H321" i="9"/>
  <c r="I321" i="9" s="1"/>
  <c r="I318" i="9"/>
  <c r="F24" i="8" l="1"/>
  <c r="E80" i="8"/>
  <c r="E69" i="8" s="1"/>
  <c r="E71" i="8"/>
  <c r="E70" i="8"/>
  <c r="E66" i="8"/>
  <c r="E35" i="8"/>
  <c r="E17" i="8"/>
  <c r="E9" i="8"/>
  <c r="E65" i="8" l="1"/>
  <c r="K132" i="7"/>
  <c r="F99" i="8"/>
  <c r="F98" i="8"/>
  <c r="F97" i="8"/>
  <c r="F96" i="8"/>
  <c r="F95" i="8"/>
  <c r="F94" i="8"/>
  <c r="F93" i="8"/>
  <c r="F92" i="8"/>
  <c r="F90" i="8"/>
  <c r="F89" i="8"/>
  <c r="F88" i="8"/>
  <c r="F87" i="8"/>
  <c r="F85" i="8"/>
  <c r="F84" i="8"/>
  <c r="F83" i="8"/>
  <c r="F82" i="8"/>
  <c r="D80" i="8"/>
  <c r="F80" i="8" s="1"/>
  <c r="C80" i="8"/>
  <c r="C69" i="8" s="1"/>
  <c r="F79" i="8"/>
  <c r="F78" i="8"/>
  <c r="F77" i="8"/>
  <c r="F76" i="8"/>
  <c r="F75" i="8"/>
  <c r="F72" i="8"/>
  <c r="D71" i="8"/>
  <c r="F71" i="8" s="1"/>
  <c r="C71" i="8"/>
  <c r="D70" i="8"/>
  <c r="F70" i="8" s="1"/>
  <c r="C70" i="8"/>
  <c r="F68" i="8"/>
  <c r="F67" i="8"/>
  <c r="D66" i="8"/>
  <c r="F66" i="8" s="1"/>
  <c r="C66" i="8"/>
  <c r="F58" i="8"/>
  <c r="F56" i="8"/>
  <c r="F55" i="8"/>
  <c r="F53" i="8"/>
  <c r="F52" i="8"/>
  <c r="F50" i="8"/>
  <c r="F49" i="8"/>
  <c r="F48" i="8"/>
  <c r="F47" i="8"/>
  <c r="F45" i="8"/>
  <c r="F44" i="8"/>
  <c r="F43" i="8"/>
  <c r="F40" i="8"/>
  <c r="F39" i="8"/>
  <c r="F38" i="8"/>
  <c r="F37" i="8"/>
  <c r="D35" i="8"/>
  <c r="F35" i="8" s="1"/>
  <c r="C35" i="8"/>
  <c r="F22" i="8"/>
  <c r="F21" i="8"/>
  <c r="F20" i="8"/>
  <c r="D17" i="8"/>
  <c r="C17" i="8"/>
  <c r="F15" i="8"/>
  <c r="F14" i="8"/>
  <c r="D9" i="8"/>
  <c r="F9" i="8" s="1"/>
  <c r="C9" i="8"/>
  <c r="J140" i="7"/>
  <c r="H140" i="7"/>
  <c r="F140" i="7"/>
  <c r="J139" i="7"/>
  <c r="H139" i="7"/>
  <c r="F139" i="7"/>
  <c r="J138" i="7"/>
  <c r="H138" i="7"/>
  <c r="F138" i="7"/>
  <c r="I134" i="7"/>
  <c r="I140" i="7" s="1"/>
  <c r="G134" i="7"/>
  <c r="G140" i="7" s="1"/>
  <c r="E134" i="7"/>
  <c r="E140" i="7" s="1"/>
  <c r="K131" i="7"/>
  <c r="K130" i="7"/>
  <c r="K129" i="7"/>
  <c r="J123" i="7"/>
  <c r="I123" i="7"/>
  <c r="H123" i="7"/>
  <c r="G123" i="7"/>
  <c r="F123" i="7"/>
  <c r="E123" i="7"/>
  <c r="L121" i="7"/>
  <c r="K121" i="7"/>
  <c r="K120" i="7"/>
  <c r="J118" i="7"/>
  <c r="I118" i="7"/>
  <c r="H118" i="7"/>
  <c r="G118" i="7"/>
  <c r="F118" i="7"/>
  <c r="E118" i="7"/>
  <c r="K117" i="7"/>
  <c r="L116" i="7"/>
  <c r="K116" i="7"/>
  <c r="K115" i="7"/>
  <c r="K108" i="7"/>
  <c r="K107" i="7"/>
  <c r="K106" i="7"/>
  <c r="K105" i="7"/>
  <c r="K104" i="7"/>
  <c r="J102" i="7"/>
  <c r="I102" i="7"/>
  <c r="H102" i="7"/>
  <c r="G102" i="7"/>
  <c r="F102" i="7"/>
  <c r="E102" i="7"/>
  <c r="L101" i="7"/>
  <c r="K101" i="7"/>
  <c r="K100" i="7"/>
  <c r="K99" i="7"/>
  <c r="J97" i="7"/>
  <c r="I97" i="7"/>
  <c r="H97" i="7"/>
  <c r="G97" i="7"/>
  <c r="F97" i="7"/>
  <c r="E97" i="7"/>
  <c r="K96" i="7"/>
  <c r="K95" i="7"/>
  <c r="K94" i="7"/>
  <c r="L92" i="7"/>
  <c r="J90" i="7"/>
  <c r="I90" i="7"/>
  <c r="H90" i="7"/>
  <c r="G90" i="7"/>
  <c r="F90" i="7"/>
  <c r="E90" i="7"/>
  <c r="L89" i="7"/>
  <c r="K89" i="7"/>
  <c r="L88" i="7"/>
  <c r="K88" i="7"/>
  <c r="K86" i="7"/>
  <c r="L85" i="7"/>
  <c r="K84" i="7"/>
  <c r="K83" i="7"/>
  <c r="K81" i="7"/>
  <c r="K80" i="7"/>
  <c r="L78" i="7"/>
  <c r="K78" i="7"/>
  <c r="J71" i="7"/>
  <c r="I71" i="7"/>
  <c r="H71" i="7"/>
  <c r="G71" i="7"/>
  <c r="F71" i="7"/>
  <c r="E71" i="7"/>
  <c r="L70" i="7"/>
  <c r="K70" i="7"/>
  <c r="K69" i="7"/>
  <c r="K67" i="7"/>
  <c r="L66" i="7"/>
  <c r="K66" i="7"/>
  <c r="K65" i="7"/>
  <c r="J63" i="7"/>
  <c r="I63" i="7"/>
  <c r="H63" i="7"/>
  <c r="G63" i="7"/>
  <c r="F63" i="7"/>
  <c r="E63" i="7"/>
  <c r="K62" i="7"/>
  <c r="K61" i="7"/>
  <c r="L60" i="7"/>
  <c r="K60" i="7"/>
  <c r="K59" i="7"/>
  <c r="K58" i="7"/>
  <c r="L57" i="7"/>
  <c r="L56" i="7"/>
  <c r="K56" i="7"/>
  <c r="K54" i="7"/>
  <c r="K53" i="7"/>
  <c r="K52" i="7"/>
  <c r="K51" i="7"/>
  <c r="K50" i="7"/>
  <c r="K49" i="7"/>
  <c r="K48" i="7"/>
  <c r="K47" i="7"/>
  <c r="K46" i="7"/>
  <c r="K45" i="7"/>
  <c r="K44" i="7"/>
  <c r="K42" i="7"/>
  <c r="L41" i="7"/>
  <c r="K41" i="7"/>
  <c r="J33" i="7"/>
  <c r="I33" i="7"/>
  <c r="H33" i="7"/>
  <c r="G33" i="7"/>
  <c r="F33" i="7"/>
  <c r="E33" i="7"/>
  <c r="L32" i="7"/>
  <c r="K32" i="7"/>
  <c r="K31" i="7"/>
  <c r="L30" i="7"/>
  <c r="K29" i="7"/>
  <c r="L28" i="7"/>
  <c r="K28" i="7"/>
  <c r="J25" i="7"/>
  <c r="I25" i="7"/>
  <c r="H25" i="7"/>
  <c r="G25" i="7"/>
  <c r="F25" i="7"/>
  <c r="E25" i="7"/>
  <c r="K24" i="7"/>
  <c r="K23" i="7"/>
  <c r="K22" i="7"/>
  <c r="K21" i="7"/>
  <c r="J19" i="7"/>
  <c r="I19" i="7"/>
  <c r="H19" i="7"/>
  <c r="G19" i="7"/>
  <c r="F19" i="7"/>
  <c r="E19" i="7"/>
  <c r="K18" i="7"/>
  <c r="L17" i="7"/>
  <c r="K17" i="7"/>
  <c r="J15" i="7"/>
  <c r="I15" i="7"/>
  <c r="H15" i="7"/>
  <c r="G15" i="7"/>
  <c r="F15" i="7"/>
  <c r="E15" i="7"/>
  <c r="K14" i="7"/>
  <c r="K13" i="7"/>
  <c r="K12" i="7"/>
  <c r="K11" i="7"/>
  <c r="K10" i="7"/>
  <c r="K9" i="7"/>
  <c r="K7" i="7"/>
  <c r="F64" i="6"/>
  <c r="F63" i="6"/>
  <c r="F62" i="6"/>
  <c r="E60" i="6"/>
  <c r="D60" i="6"/>
  <c r="C60" i="6"/>
  <c r="F58" i="6"/>
  <c r="F57" i="6"/>
  <c r="F56" i="6"/>
  <c r="F55" i="6"/>
  <c r="E53" i="6"/>
  <c r="F53" i="6" s="1"/>
  <c r="D53" i="6"/>
  <c r="C53" i="6"/>
  <c r="F51" i="6"/>
  <c r="F50" i="6"/>
  <c r="F49" i="6"/>
  <c r="E48" i="6"/>
  <c r="D48" i="6"/>
  <c r="C48" i="6"/>
  <c r="F47" i="6"/>
  <c r="F46" i="6"/>
  <c r="F45" i="6"/>
  <c r="F44" i="6"/>
  <c r="F43" i="6"/>
  <c r="F42" i="6"/>
  <c r="F41" i="6"/>
  <c r="F40" i="6"/>
  <c r="F39" i="6"/>
  <c r="F38" i="6"/>
  <c r="F32" i="6"/>
  <c r="F31" i="6"/>
  <c r="F30" i="6"/>
  <c r="E29" i="6"/>
  <c r="D29" i="6"/>
  <c r="D28" i="6" s="1"/>
  <c r="C29" i="6"/>
  <c r="C28" i="6" s="1"/>
  <c r="F26" i="6"/>
  <c r="F25" i="6"/>
  <c r="F24" i="6"/>
  <c r="F23" i="6"/>
  <c r="F22" i="6"/>
  <c r="F21" i="6"/>
  <c r="F20" i="6"/>
  <c r="F19" i="6"/>
  <c r="F18" i="6"/>
  <c r="E17" i="6"/>
  <c r="D17" i="6"/>
  <c r="C17" i="6"/>
  <c r="F15" i="6"/>
  <c r="F14" i="6"/>
  <c r="F13" i="6"/>
  <c r="F12" i="6"/>
  <c r="F11" i="6"/>
  <c r="F10" i="6"/>
  <c r="F9" i="6"/>
  <c r="F8" i="6"/>
  <c r="E6" i="6"/>
  <c r="D6" i="6"/>
  <c r="C6" i="6"/>
  <c r="D69" i="8" l="1"/>
  <c r="F69" i="8" s="1"/>
  <c r="C65" i="8"/>
  <c r="H125" i="7"/>
  <c r="G139" i="7" s="1"/>
  <c r="K19" i="7"/>
  <c r="L33" i="7"/>
  <c r="L71" i="7"/>
  <c r="L97" i="7"/>
  <c r="K118" i="7"/>
  <c r="K33" i="7"/>
  <c r="K71" i="7"/>
  <c r="K97" i="7"/>
  <c r="L118" i="7"/>
  <c r="I125" i="7"/>
  <c r="K25" i="7"/>
  <c r="K63" i="7"/>
  <c r="L90" i="7"/>
  <c r="L102" i="7"/>
  <c r="L123" i="7"/>
  <c r="E125" i="7"/>
  <c r="E138" i="7" s="1"/>
  <c r="F125" i="7"/>
  <c r="E139" i="7" s="1"/>
  <c r="J125" i="7"/>
  <c r="I139" i="7" s="1"/>
  <c r="L63" i="7"/>
  <c r="K90" i="7"/>
  <c r="K102" i="7"/>
  <c r="K123" i="7"/>
  <c r="F17" i="6"/>
  <c r="D5" i="6"/>
  <c r="D68" i="6" s="1"/>
  <c r="F48" i="6"/>
  <c r="F29" i="6"/>
  <c r="E28" i="6"/>
  <c r="F28" i="6" s="1"/>
  <c r="F6" i="6"/>
  <c r="C5" i="6"/>
  <c r="C68" i="6" s="1"/>
  <c r="F60" i="6"/>
  <c r="I138" i="7"/>
  <c r="K140" i="7"/>
  <c r="G125" i="7"/>
  <c r="G138" i="7" s="1"/>
  <c r="L19" i="7"/>
  <c r="K134" i="7"/>
  <c r="K15" i="7"/>
  <c r="E5" i="6"/>
  <c r="D65" i="8" l="1"/>
  <c r="F65" i="8" s="1"/>
  <c r="K139" i="7"/>
  <c r="E141" i="7"/>
  <c r="G141" i="7"/>
  <c r="L125" i="7"/>
  <c r="K125" i="7"/>
  <c r="K138" i="7"/>
  <c r="I141" i="7"/>
  <c r="K141" i="7" s="1"/>
  <c r="E68" i="6"/>
  <c r="F68" i="6" s="1"/>
  <c r="F5" i="6"/>
</calcChain>
</file>

<file path=xl/sharedStrings.xml><?xml version="1.0" encoding="utf-8"?>
<sst xmlns="http://schemas.openxmlformats.org/spreadsheetml/2006/main" count="842" uniqueCount="337">
  <si>
    <t>U k a z o v a t e ľ</t>
  </si>
  <si>
    <t>BEŽNÉ  PRÍJMY:</t>
  </si>
  <si>
    <t>Daňové príjmy</t>
  </si>
  <si>
    <t>Miestne dane</t>
  </si>
  <si>
    <t xml:space="preserve"> - za psa</t>
  </si>
  <si>
    <t xml:space="preserve"> - za užívanie verejného priestranstva </t>
  </si>
  <si>
    <t xml:space="preserve">   z toho za vyhradené parkovanie</t>
  </si>
  <si>
    <t xml:space="preserve"> - za nevýherné hracie prístroje </t>
  </si>
  <si>
    <t xml:space="preserve"> - za predajné automaty </t>
  </si>
  <si>
    <t>Podiel na výnose dane z príjmov fyzických osôb</t>
  </si>
  <si>
    <t>Podiel na dani z nehnuteľností</t>
  </si>
  <si>
    <t>Podiel na poplatku za komunálny odpad</t>
  </si>
  <si>
    <t xml:space="preserve">Nedaňové príjmy </t>
  </si>
  <si>
    <t>Príjmy z prenájmu majetku - pozemky</t>
  </si>
  <si>
    <t>Príjmy z prenájmu majetku - Veolia Energia Slovensko</t>
  </si>
  <si>
    <t>Príjmy z prenájmu majetku - budovy MČ</t>
  </si>
  <si>
    <t>Príjmy z prenájmu - byty</t>
  </si>
  <si>
    <t>Príjmy z prenájmu - nebytové priestory, garáže, objekty</t>
  </si>
  <si>
    <t>Administratívne poplatky</t>
  </si>
  <si>
    <t>Úroky</t>
  </si>
  <si>
    <t xml:space="preserve">Ostatné nedaňové príjmy </t>
  </si>
  <si>
    <t>Príjmy materských škôl</t>
  </si>
  <si>
    <t xml:space="preserve">Granty a transfery </t>
  </si>
  <si>
    <t>Dotácie zo štátneho rozpočtu</t>
  </si>
  <si>
    <t xml:space="preserve"> v tom:    školstvo</t>
  </si>
  <si>
    <t xml:space="preserve">              sociálna starostlivosť - činnosť ZOS</t>
  </si>
  <si>
    <t xml:space="preserve">              zariad. núdzového bývania</t>
  </si>
  <si>
    <t>Tab. č. 1/2                v EUR</t>
  </si>
  <si>
    <t xml:space="preserve">              štátne sociálne dávky</t>
  </si>
  <si>
    <t xml:space="preserve">              stavebný poriadok</t>
  </si>
  <si>
    <t xml:space="preserve">              špeciálny stavebný úrad</t>
  </si>
  <si>
    <t xml:space="preserve">              matrika</t>
  </si>
  <si>
    <t xml:space="preserve">              štátny fond rozvoja bývania</t>
  </si>
  <si>
    <t xml:space="preserve">              školský úrad</t>
  </si>
  <si>
    <t xml:space="preserve">              ochrana prírody a krajiny</t>
  </si>
  <si>
    <t>Granty, sponzorské dary</t>
  </si>
  <si>
    <t>Dotácie - prostriedky EU a ŠR na projekty, voľby, sčít.ľudu</t>
  </si>
  <si>
    <t>Príjmy rozpočtových organizácií</t>
  </si>
  <si>
    <t xml:space="preserve">Príjmy organizácií školstva </t>
  </si>
  <si>
    <t>v tom príjmy z poplatkov za stravovanie</t>
  </si>
  <si>
    <t>Príjmy ostatných rozpočtových organizácií</t>
  </si>
  <si>
    <t>KAPITÁLOVÉ  PRÍJMY:</t>
  </si>
  <si>
    <t>Príjmy z  predaja majetku</t>
  </si>
  <si>
    <t xml:space="preserve"> - z predaja pozemkov</t>
  </si>
  <si>
    <t xml:space="preserve"> - z predaja bytov, nebyt. priest., objektov</t>
  </si>
  <si>
    <t xml:space="preserve"> - z predaja nehnuteľného majetku hl. mesta</t>
  </si>
  <si>
    <t>Kapitálové transfery</t>
  </si>
  <si>
    <t>FINANČNÉ OPERÁCIE:</t>
  </si>
  <si>
    <t>Prostriedky prevedené</t>
  </si>
  <si>
    <t xml:space="preserve"> - z Rezervného fondu</t>
  </si>
  <si>
    <t xml:space="preserve"> - zo zostatku dotácií z predchádzajúcich rokov</t>
  </si>
  <si>
    <t>Návratná finančná výpomoc zo ŠR</t>
  </si>
  <si>
    <t>PRÍJMY  SPOLU</t>
  </si>
  <si>
    <t>Schválený rozpočet 2020</t>
  </si>
  <si>
    <t>Tab.č. 2/1                              v EUR</t>
  </si>
  <si>
    <t>Číslo programu</t>
  </si>
  <si>
    <t xml:space="preserve">Názov </t>
  </si>
  <si>
    <t>Bežné výdavky</t>
  </si>
  <si>
    <t>Kapit. výd.</t>
  </si>
  <si>
    <t>1</t>
  </si>
  <si>
    <t>Rozhodovanie, manažment a kontrola</t>
  </si>
  <si>
    <t>Výkon funkcie poslancov</t>
  </si>
  <si>
    <t>Manažment</t>
  </si>
  <si>
    <t>Výkon funkcie starostu</t>
  </si>
  <si>
    <t>2</t>
  </si>
  <si>
    <t>Výkon funkcie zástupcov starostu</t>
  </si>
  <si>
    <t>3</t>
  </si>
  <si>
    <t>Výkon funkcie prednostu</t>
  </si>
  <si>
    <t>Výkon funkcie miestneho kontrolóra</t>
  </si>
  <si>
    <t>Stratégia a riadenie projektov</t>
  </si>
  <si>
    <t>Podpora neziskových organizácií</t>
  </si>
  <si>
    <t>Program č. 1 spolu</t>
  </si>
  <si>
    <t>Moderný miestny úrad</t>
  </si>
  <si>
    <t>Zabezpeč. chodu informačného systému</t>
  </si>
  <si>
    <t>Úrad ako podpora</t>
  </si>
  <si>
    <t>Program č. 2 spolu</t>
  </si>
  <si>
    <t>Služby občanom</t>
  </si>
  <si>
    <t xml:space="preserve">Matrika </t>
  </si>
  <si>
    <t>Ohlasovňa pobytu</t>
  </si>
  <si>
    <t>Sobáše a občianske obrady</t>
  </si>
  <si>
    <t>Propagácia mestskej časti</t>
  </si>
  <si>
    <t>Program č. 3 spolu</t>
  </si>
  <si>
    <t>4</t>
  </si>
  <si>
    <t>Doprava a komunikácie</t>
  </si>
  <si>
    <t>Miestne komunikácie a chodníky</t>
  </si>
  <si>
    <t>Oprava a obnova komunikácií</t>
  </si>
  <si>
    <t>Zabezpeč. vyhradeného parkovania</t>
  </si>
  <si>
    <t>Výst. chodníkov, komunik.a cyklotrás</t>
  </si>
  <si>
    <t>Projekt zjednosmernenia ulíc</t>
  </si>
  <si>
    <t>5</t>
  </si>
  <si>
    <t xml:space="preserve">Parkovanie </t>
  </si>
  <si>
    <t>Program č. 4 spolu</t>
  </si>
  <si>
    <t>Tab.č. 2/2                              v EUR</t>
  </si>
  <si>
    <t>Vzdelávanie</t>
  </si>
  <si>
    <t>Predškolské vzdelávanie</t>
  </si>
  <si>
    <t>Materské školy</t>
  </si>
  <si>
    <t>Stredisko služieb školám a ŠZ</t>
  </si>
  <si>
    <t>Vzdelávanie v základných školách</t>
  </si>
  <si>
    <t>ZŠ Budatínska</t>
  </si>
  <si>
    <t xml:space="preserve">ZŠ Černyševského </t>
  </si>
  <si>
    <t xml:space="preserve">ZŠ Dudova </t>
  </si>
  <si>
    <t>ZŠ Gessayova</t>
  </si>
  <si>
    <t xml:space="preserve">ZŠ Holíčska </t>
  </si>
  <si>
    <t>6</t>
  </si>
  <si>
    <t xml:space="preserve">ZŠ Lachova </t>
  </si>
  <si>
    <t>7</t>
  </si>
  <si>
    <t>ZŠ Nobelovo nám.</t>
  </si>
  <si>
    <t>8</t>
  </si>
  <si>
    <t xml:space="preserve">ZŠ Pankúchova </t>
  </si>
  <si>
    <t>9</t>
  </si>
  <si>
    <t xml:space="preserve">ZŠ Prokofievova </t>
  </si>
  <si>
    <t>10</t>
  </si>
  <si>
    <t xml:space="preserve">ZŠ Tupolevova </t>
  </si>
  <si>
    <t>11</t>
  </si>
  <si>
    <t xml:space="preserve">ZŠ Turnianska </t>
  </si>
  <si>
    <t xml:space="preserve">Zlepšenie technic. stavu budov </t>
  </si>
  <si>
    <t xml:space="preserve">Projekt Zlepšenie technic. stavu budov </t>
  </si>
  <si>
    <t>Rozvoj kapacít MŠ</t>
  </si>
  <si>
    <t>Riadenie kvality vzdelávania</t>
  </si>
  <si>
    <t>Podpora voľnočasových aktivít v ZŠ</t>
  </si>
  <si>
    <t>Školské stravovanie v ZŠ</t>
  </si>
  <si>
    <t xml:space="preserve">Školský úrad </t>
  </si>
  <si>
    <t>Podujatia žiakov ZŠ a MŠ</t>
  </si>
  <si>
    <t>Program č. 5 spolu</t>
  </si>
  <si>
    <t>Kultúra a šport</t>
  </si>
  <si>
    <t xml:space="preserve">Miestna knižnica Petržalka </t>
  </si>
  <si>
    <t xml:space="preserve">Kultúrne zariadenia Petržalky </t>
  </si>
  <si>
    <t>Kultúrne podujatia</t>
  </si>
  <si>
    <t>Podpora športu</t>
  </si>
  <si>
    <t>Športové podujatia</t>
  </si>
  <si>
    <t>Rozvoj športu</t>
  </si>
  <si>
    <t>Program č. 6 spolu</t>
  </si>
  <si>
    <t>Tab.č. 2/3                              v EUR</t>
  </si>
  <si>
    <t>Životné prostredie</t>
  </si>
  <si>
    <t>Starostlivosť o zeleň</t>
  </si>
  <si>
    <t>Tvorba parkov a zelených plôch</t>
  </si>
  <si>
    <t xml:space="preserve">Projekt Revitalizácie predzáhradiek </t>
  </si>
  <si>
    <t>Výsadba drevín a záhonov</t>
  </si>
  <si>
    <t>Verejné priestranstvá</t>
  </si>
  <si>
    <t>Údržba a čistota verej. priestranstiev</t>
  </si>
  <si>
    <t>Starostlivosť o psov</t>
  </si>
  <si>
    <t>Dotváranie a bud. kontajner. stanovíšť</t>
  </si>
  <si>
    <t>Podpora vodnej záchrannej služby</t>
  </si>
  <si>
    <t>Činnosť MP VPS</t>
  </si>
  <si>
    <t>Údržba a čistota verej. detských ihrísk</t>
  </si>
  <si>
    <t>Ostatná činnosť MP VPS</t>
  </si>
  <si>
    <t>Program č. 7 spolu</t>
  </si>
  <si>
    <t>Územný rozvoj</t>
  </si>
  <si>
    <t>Urbanistické štúdie a územné plány zón</t>
  </si>
  <si>
    <t>Kvalitné a včasné stavebné konanie</t>
  </si>
  <si>
    <t>Stavebný úrad</t>
  </si>
  <si>
    <t>Špeciálny stavebný úrad</t>
  </si>
  <si>
    <t>Štátny fond rozvoja bývania</t>
  </si>
  <si>
    <t>Program č. 8 spolu</t>
  </si>
  <si>
    <t>Nakladanie s majetkom a bývanie</t>
  </si>
  <si>
    <t>Obecné byty</t>
  </si>
  <si>
    <t>Nebytové priestory</t>
  </si>
  <si>
    <t>Obnova a údržba majetku</t>
  </si>
  <si>
    <t>Program č. 9 spolu</t>
  </si>
  <si>
    <t>Sociálna pomoc a sociálne služby</t>
  </si>
  <si>
    <t>Starostlivosť o seniorov</t>
  </si>
  <si>
    <t>Starostlivosť o rodinu a deti</t>
  </si>
  <si>
    <t>Poskytovanie dávok sociálnej pomoci</t>
  </si>
  <si>
    <t>Pochovávanie občanov</t>
  </si>
  <si>
    <t>Prenes.výkon št.správy v soc. oblasti</t>
  </si>
  <si>
    <t>Tab.č. 2/4               v EUR</t>
  </si>
  <si>
    <t>Stredisko sociálnych služieb</t>
  </si>
  <si>
    <t>Zariadenia sociálnych služieb</t>
  </si>
  <si>
    <t>Správa Strediska sociálnych služieb</t>
  </si>
  <si>
    <t xml:space="preserve">Sociálne služby </t>
  </si>
  <si>
    <t>Program č. 10 spolu</t>
  </si>
  <si>
    <t>Bezpečnosť a poriadok</t>
  </si>
  <si>
    <t>Podpora mestskej polície</t>
  </si>
  <si>
    <t>Ochrana obecného majetku</t>
  </si>
  <si>
    <t>Program č. 11 spolu</t>
  </si>
  <si>
    <t>Spolu</t>
  </si>
  <si>
    <t>Výdavkové finančné operácie</t>
  </si>
  <si>
    <t>Sumarizácia výdavkov</t>
  </si>
  <si>
    <t>Kapitálové výdavky</t>
  </si>
  <si>
    <t>Výdavky spolu</t>
  </si>
  <si>
    <t>Miestneho podniku verejnoprospešných služieb Petržalka</t>
  </si>
  <si>
    <t>Tab. č. 3                 v EUR</t>
  </si>
  <si>
    <t xml:space="preserve">Transfer z rozpočtu MČ na bežné výdavky                   </t>
  </si>
  <si>
    <t xml:space="preserve">v tom progr.:                  </t>
  </si>
  <si>
    <t xml:space="preserve">            7.1 - starostlivosť o zeleň                  </t>
  </si>
  <si>
    <t xml:space="preserve">           4.1.1 - oprava a údržba komunikácií</t>
  </si>
  <si>
    <t xml:space="preserve">           7.4.1. - údržba a čistova verej. detských ihrísk</t>
  </si>
  <si>
    <t xml:space="preserve">           7.4.2. - ostatná činnosť MP VPS</t>
  </si>
  <si>
    <t xml:space="preserve">           7.3.1. - poplatky za odvoz odpadu</t>
  </si>
  <si>
    <t xml:space="preserve">Transf. z rozpočtu MČ na kapitálové výdavky        </t>
  </si>
  <si>
    <t>Kapitálové výdavky z vlast. zdrojov organizácie</t>
  </si>
  <si>
    <t xml:space="preserve"> mestskej časti Bratislava-Petržalka na úseku kultúry</t>
  </si>
  <si>
    <t>Tab. č. 4                v EUR</t>
  </si>
  <si>
    <t>Kultúrne zariadenia Petržalky</t>
  </si>
  <si>
    <t xml:space="preserve">Transfer z rozpočtu MČ na prevádzku       </t>
  </si>
  <si>
    <t xml:space="preserve">v tom program : </t>
  </si>
  <si>
    <t xml:space="preserve">         6.2 - činnosť KZP</t>
  </si>
  <si>
    <t xml:space="preserve">         6.3 - Kultúrne podujatia - Letné dni Petržalky</t>
  </si>
  <si>
    <t xml:space="preserve">         6.3 - Kultúrne podujatia - Seniorfest</t>
  </si>
  <si>
    <t xml:space="preserve">         6.3 - Kultúrne podujatia - Petrž. Ples</t>
  </si>
  <si>
    <t xml:space="preserve">         6.3 - Kultúrne podujatia - Petrž. Vianoč.trhy</t>
  </si>
  <si>
    <t xml:space="preserve">         6.3 - Kultúrne podujatia - propag. MČ na Hl.nám.</t>
  </si>
  <si>
    <t xml:space="preserve">         6.3 - Podpora detských folklórnch súborov</t>
  </si>
  <si>
    <t xml:space="preserve">Granty a transfery z iných zdrojov </t>
  </si>
  <si>
    <t xml:space="preserve">Transf. z rozpočtu MČ na investície - progr. 6.2      </t>
  </si>
  <si>
    <t xml:space="preserve">Kapitálové granty a transfery z iných zdrojov </t>
  </si>
  <si>
    <t xml:space="preserve">Bežné výdavky spolu                                                </t>
  </si>
  <si>
    <t xml:space="preserve">- z toho mzdové výdavky                                    </t>
  </si>
  <si>
    <t xml:space="preserve">Kapitálové výdavky                                            </t>
  </si>
  <si>
    <t xml:space="preserve">Príjmy bežné                                                              </t>
  </si>
  <si>
    <t>Miestna knižnica Petržalka</t>
  </si>
  <si>
    <t>Transfer z rozp. MČ na prevádzku - progr. 6.1</t>
  </si>
  <si>
    <t xml:space="preserve">Transfer z rozp. MČ na investície - progr. 6.1       </t>
  </si>
  <si>
    <t xml:space="preserve">Príjmy                                                                         </t>
  </si>
  <si>
    <t>Záväzné ukazovatele rozpočtovej organizácie</t>
  </si>
  <si>
    <t>Strediska sociálnych služieb Petržalka</t>
  </si>
  <si>
    <t>Tab. č. 5                 v EUR</t>
  </si>
  <si>
    <t xml:space="preserve">Transfer z rozpočtu MČ na prevádzku    </t>
  </si>
  <si>
    <t xml:space="preserve">Transfer zo ŠR a EÚ na prevádzku </t>
  </si>
  <si>
    <t>Transfer z rozpočtu MČ na investície</t>
  </si>
  <si>
    <t xml:space="preserve">Bežné výdavky                                                 </t>
  </si>
  <si>
    <t xml:space="preserve">- z toho mzdové výdavky                         </t>
  </si>
  <si>
    <t xml:space="preserve">Príjmy                                                          </t>
  </si>
  <si>
    <t xml:space="preserve"> - z toho dotácia z EÚ a zo ŠR na opatrovateľskú službu</t>
  </si>
  <si>
    <t>v tom:</t>
  </si>
  <si>
    <t>Správa organizácie - progr. 10.6.2</t>
  </si>
  <si>
    <t xml:space="preserve"> bežné výdavky spolu</t>
  </si>
  <si>
    <t>- z toho zo ŠR</t>
  </si>
  <si>
    <t>kapitálové výdavky</t>
  </si>
  <si>
    <t xml:space="preserve"> príjmy</t>
  </si>
  <si>
    <t>Progr. 10.6.1</t>
  </si>
  <si>
    <t>Zariadenie opatrovateľskej starostlivosti</t>
  </si>
  <si>
    <t xml:space="preserve"> - z toho zo ŠR</t>
  </si>
  <si>
    <t>Opatrovateľská služba</t>
  </si>
  <si>
    <t>bežné výdavky spolu</t>
  </si>
  <si>
    <t xml:space="preserve"> - z toho zo ŠR a EÚ</t>
  </si>
  <si>
    <t>Domov pre rodičov a deti</t>
  </si>
  <si>
    <t xml:space="preserve">Prepravná služba          </t>
  </si>
  <si>
    <t>% plnenia</t>
  </si>
  <si>
    <t>Rozpočet 2020 po zmenách</t>
  </si>
  <si>
    <t>Skutočnosť 2020</t>
  </si>
  <si>
    <t>Plnenie rozpočtu príjmov</t>
  </si>
  <si>
    <t>mestskej časti Bratislava-Petržalka za rok 2020</t>
  </si>
  <si>
    <t>Tab. č. 1/1                v EUR</t>
  </si>
  <si>
    <t xml:space="preserve">Rozpočet 2020 po zmenách </t>
  </si>
  <si>
    <t>Plnenie rozpočtu výdavkov mestskej časti Bratislava-Petržalka za rok 2020</t>
  </si>
  <si>
    <t>Skutočnosť  2020</t>
  </si>
  <si>
    <t xml:space="preserve">Plnenie záväzných ukazovateľov </t>
  </si>
  <si>
    <t xml:space="preserve">za rok 2020 </t>
  </si>
  <si>
    <t>príspevkovej organizácie -</t>
  </si>
  <si>
    <t>Plnenie záväzných ukazovatele rozpočtových organizácií</t>
  </si>
  <si>
    <t>Prostriedky min. rokov za stravné ogranizácií školstva</t>
  </si>
  <si>
    <t>Prijaté zábezpeky a IOMO</t>
  </si>
  <si>
    <t>Poplatok za rozvoj</t>
  </si>
  <si>
    <t xml:space="preserve">              ohlasovňa pobytu a register adries</t>
  </si>
  <si>
    <t>- z toho bežné výdavky</t>
  </si>
  <si>
    <t>Vlastné príjmy</t>
  </si>
  <si>
    <t xml:space="preserve">Výsledok hospodárenia    (výnosy / náklady)                              </t>
  </si>
  <si>
    <t>Plnenie rozpočtu príjmov a výdavkov základných a materských škôl</t>
  </si>
  <si>
    <t xml:space="preserve">         Tab. č. 6/1</t>
  </si>
  <si>
    <t>v EUR</t>
  </si>
  <si>
    <t>Položka</t>
  </si>
  <si>
    <t xml:space="preserve">ZŠ Budatínska </t>
  </si>
  <si>
    <t>ZŠ Černyševského</t>
  </si>
  <si>
    <t>Rozpočet 2020 po zmenách 31.12.2020</t>
  </si>
  <si>
    <t xml:space="preserve">P R Í J M Y  C E L K O M </t>
  </si>
  <si>
    <t>poplatky</t>
  </si>
  <si>
    <t>stravné</t>
  </si>
  <si>
    <t>prenájmy</t>
  </si>
  <si>
    <t>príspevok na nákup potravín</t>
  </si>
  <si>
    <t>Iné- granty,dobropisy,úroky...</t>
  </si>
  <si>
    <t>Bežné výdavky zo ŠR spolu</t>
  </si>
  <si>
    <t>ZŠ mzdy a odvody ŠR</t>
  </si>
  <si>
    <t>ZŠ tovary a služby ŠR</t>
  </si>
  <si>
    <t>ZŠ tovary a služby ŠR z min.roku</t>
  </si>
  <si>
    <r>
      <rPr>
        <b/>
        <i/>
        <u/>
        <sz val="9"/>
        <rFont val="Arial CE"/>
        <charset val="238"/>
      </rPr>
      <t>BV normatívne</t>
    </r>
    <r>
      <rPr>
        <b/>
        <i/>
        <sz val="9"/>
        <rFont val="Arial CE"/>
        <charset val="238"/>
      </rPr>
      <t xml:space="preserve"> na prenes. komp. zo ŠR  spolu</t>
    </r>
  </si>
  <si>
    <t xml:space="preserve">               vzdelávacie poukazy</t>
  </si>
  <si>
    <t xml:space="preserve">              odchodné </t>
  </si>
  <si>
    <t xml:space="preserve">              asistent učiteľa</t>
  </si>
  <si>
    <t xml:space="preserve">              mimor. výsledky žiakov</t>
  </si>
  <si>
    <t xml:space="preserve">             sociál. znevýhod. prostr.</t>
  </si>
  <si>
    <t xml:space="preserve">             príspevok na učebnice</t>
  </si>
  <si>
    <t xml:space="preserve">             lyžiarsky kurz</t>
  </si>
  <si>
    <t xml:space="preserve">             škola v prírode</t>
  </si>
  <si>
    <t xml:space="preserve">             rozvojový projekt</t>
  </si>
  <si>
    <t xml:space="preserve">      predškolská výchova v MŠ</t>
  </si>
  <si>
    <r>
      <rPr>
        <b/>
        <i/>
        <u/>
        <sz val="9"/>
        <rFont val="Arial CE"/>
        <charset val="238"/>
      </rPr>
      <t>Nenormatívne výd.</t>
    </r>
    <r>
      <rPr>
        <b/>
        <i/>
        <sz val="9"/>
        <rFont val="Arial CE"/>
        <charset val="238"/>
      </rPr>
      <t xml:space="preserve"> zo ŠR spolu</t>
    </r>
  </si>
  <si>
    <r>
      <rPr>
        <b/>
        <i/>
        <u/>
        <sz val="9"/>
        <rFont val="Arial CE"/>
        <charset val="238"/>
      </rPr>
      <t>Iné prostr.</t>
    </r>
    <r>
      <rPr>
        <b/>
        <i/>
        <sz val="9"/>
        <rFont val="Arial CE"/>
        <charset val="238"/>
      </rPr>
      <t xml:space="preserve"> zo ŠR </t>
    </r>
  </si>
  <si>
    <t>Bežné výdavky  z rozpočtu MČ spolu</t>
  </si>
  <si>
    <t>v tom:  pre ZŠ</t>
  </si>
  <si>
    <t xml:space="preserve">           ŠJ - mzdy a odvody</t>
  </si>
  <si>
    <t xml:space="preserve">           ŠJ-tovary a služby</t>
  </si>
  <si>
    <t xml:space="preserve">          ŠKD  -mzdy a odvody</t>
  </si>
  <si>
    <t xml:space="preserve">          ŠKD - tovary a služby</t>
  </si>
  <si>
    <t>BV na nákup potr. od rodičov</t>
  </si>
  <si>
    <t>BV na nákup potr. dotácia ŠR</t>
  </si>
  <si>
    <t>BV na nák.potr.dot. ŠR z min.roku</t>
  </si>
  <si>
    <t>Bežné  výdavky  -   granty</t>
  </si>
  <si>
    <t>v tom : pre ZŠ</t>
  </si>
  <si>
    <t xml:space="preserve">            pre ŠJ a ŠKD</t>
  </si>
  <si>
    <t>BEŽNÉ VÝDAVKY SPOLU</t>
  </si>
  <si>
    <t xml:space="preserve">Kapitál. výdavky zo  ŠR </t>
  </si>
  <si>
    <t>Kapitál. výdavky z rozp. MČ</t>
  </si>
  <si>
    <t>VÝDAVKY    C E L K O M</t>
  </si>
  <si>
    <t>Tab. č. 6/2</t>
  </si>
  <si>
    <t>ZŠ Dudova</t>
  </si>
  <si>
    <t xml:space="preserve">  ZŠ Gessayova</t>
  </si>
  <si>
    <t>ZŠ tovary a služby ŠR z min. roku</t>
  </si>
  <si>
    <r>
      <rPr>
        <b/>
        <i/>
        <u/>
        <sz val="10"/>
        <rFont val="Arial CE"/>
        <charset val="238"/>
      </rPr>
      <t>BV normatívne</t>
    </r>
    <r>
      <rPr>
        <b/>
        <i/>
        <sz val="10"/>
        <rFont val="Arial CE"/>
        <charset val="238"/>
      </rPr>
      <t xml:space="preserve"> na prenes. komp. zo ŠR  spolu</t>
    </r>
  </si>
  <si>
    <t xml:space="preserve">              odchodné</t>
  </si>
  <si>
    <r>
      <rPr>
        <b/>
        <i/>
        <u/>
        <sz val="10"/>
        <rFont val="Arial CE"/>
        <charset val="238"/>
      </rPr>
      <t>Nenormatívne výd.</t>
    </r>
    <r>
      <rPr>
        <b/>
        <i/>
        <sz val="10"/>
        <rFont val="Arial CE"/>
        <charset val="238"/>
      </rPr>
      <t xml:space="preserve"> zo ŠR spolu</t>
    </r>
  </si>
  <si>
    <r>
      <rPr>
        <b/>
        <i/>
        <u/>
        <sz val="10"/>
        <rFont val="Arial CE"/>
        <charset val="238"/>
      </rPr>
      <t>Iné prostr.</t>
    </r>
    <r>
      <rPr>
        <b/>
        <i/>
        <sz val="10"/>
        <rFont val="Arial CE"/>
        <charset val="238"/>
      </rPr>
      <t xml:space="preserve"> zo ŠR </t>
    </r>
  </si>
  <si>
    <t>Tab. č. 6/3</t>
  </si>
  <si>
    <t>ZŠ Lachova</t>
  </si>
  <si>
    <t>Tab. č. 6/4</t>
  </si>
  <si>
    <t>Tab. č. 6/5</t>
  </si>
  <si>
    <t>ZŠ Prokofievova</t>
  </si>
  <si>
    <t>ZŠ Tupolevova</t>
  </si>
  <si>
    <t>Tab. č. 6/6</t>
  </si>
  <si>
    <t>Základné školy  - spolu</t>
  </si>
  <si>
    <t>Tab. č. 6/7</t>
  </si>
  <si>
    <t>MATERSKĚ  ŠKOLY</t>
  </si>
  <si>
    <t xml:space="preserve"> SSŠaŠZ</t>
  </si>
  <si>
    <t>OPaPV - MŠ</t>
  </si>
  <si>
    <t>Príjmy spolu</t>
  </si>
  <si>
    <t>v tom:  z rozpočtu  MČ pre ZŠ</t>
  </si>
  <si>
    <t xml:space="preserve">          ŠKD, MŠ -mzdy a odvody</t>
  </si>
  <si>
    <t xml:space="preserve">          ŠKD, MŠ - tovary a služby</t>
  </si>
  <si>
    <t xml:space="preserve">         Aparát SSŠaŠZ-mzdy a odv.</t>
  </si>
  <si>
    <t xml:space="preserve">          Aparát SSŠaŠZ-tovary a sl.</t>
  </si>
  <si>
    <t>v tom : pre ZŠ a MŠ</t>
  </si>
  <si>
    <t>VÝDAVKY    S P O L U</t>
  </si>
  <si>
    <t>Tab. č. 6/8</t>
  </si>
  <si>
    <t xml:space="preserve"> MATERSKÉ ŠKOLY  SPOLU</t>
  </si>
  <si>
    <t xml:space="preserve"> ŠKOLSTVO SPOLU</t>
  </si>
  <si>
    <t xml:space="preserve"> k 31.12.2020</t>
  </si>
  <si>
    <t xml:space="preserve">Vrátené zábezpeky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</si>
</sst>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name val="Arial CE"/>
      <charset val="238"/>
    </font>
    <font>
      <sz val="18"/>
      <name val="Arial CE"/>
      <family val="2"/>
      <charset val="238"/>
    </font>
    <font>
      <b/>
      <sz val="18"/>
      <name val="Arial"/>
      <family val="2"/>
      <charset val="238"/>
    </font>
    <font>
      <sz val="12"/>
      <name val="Arial CE"/>
      <charset val="238"/>
    </font>
    <font>
      <sz val="12"/>
      <color rgb="FFFF0000"/>
      <name val="Arial CE"/>
      <charset val="238"/>
    </font>
    <font>
      <sz val="11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 CE"/>
    </font>
    <font>
      <b/>
      <sz val="12"/>
      <name val="Arial CE"/>
      <family val="2"/>
      <charset val="238"/>
    </font>
    <font>
      <b/>
      <sz val="12"/>
      <name val="Arial"/>
      <family val="2"/>
      <charset val="238"/>
    </font>
    <font>
      <b/>
      <i/>
      <sz val="14"/>
      <name val="Arial CE"/>
      <family val="2"/>
      <charset val="238"/>
    </font>
    <font>
      <b/>
      <i/>
      <sz val="12"/>
      <name val="Arial CE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sz val="11.5"/>
      <name val="Arial CE"/>
      <family val="2"/>
      <charset val="238"/>
    </font>
    <font>
      <sz val="12"/>
      <color theme="1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u/>
      <sz val="16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2"/>
      <color rgb="FF00B050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Arial CE"/>
      <family val="2"/>
      <charset val="238"/>
    </font>
    <font>
      <sz val="10"/>
      <color rgb="FFFF0000"/>
      <name val="Arial"/>
      <family val="2"/>
      <charset val="238"/>
    </font>
    <font>
      <b/>
      <i/>
      <u/>
      <sz val="16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1"/>
      <color rgb="FFFF0000"/>
      <name val="Arial"/>
      <family val="2"/>
      <charset val="238"/>
    </font>
    <font>
      <i/>
      <sz val="12"/>
      <name val="Arial CE"/>
      <charset val="238"/>
    </font>
    <font>
      <i/>
      <sz val="12"/>
      <name val="Arial CE"/>
      <family val="2"/>
      <charset val="238"/>
    </font>
    <font>
      <sz val="16"/>
      <name val="Arial CE"/>
      <charset val="238"/>
    </font>
    <font>
      <b/>
      <sz val="15"/>
      <name val="Arial CE"/>
      <family val="2"/>
      <charset val="238"/>
    </font>
    <font>
      <sz val="9"/>
      <name val="Arial"/>
      <family val="2"/>
      <charset val="238"/>
    </font>
    <font>
      <b/>
      <u/>
      <sz val="12"/>
      <name val="Arial CE"/>
      <family val="2"/>
      <charset val="238"/>
    </font>
    <font>
      <sz val="9"/>
      <name val="Arial CE"/>
      <charset val="238"/>
    </font>
    <font>
      <b/>
      <sz val="11"/>
      <name val="Arial CE"/>
      <family val="2"/>
      <charset val="238"/>
    </font>
    <font>
      <b/>
      <sz val="9"/>
      <name val="Arial CE"/>
      <family val="2"/>
      <charset val="238"/>
    </font>
    <font>
      <b/>
      <i/>
      <sz val="10"/>
      <name val="Arial CE"/>
      <charset val="238"/>
    </font>
    <font>
      <b/>
      <i/>
      <sz val="9"/>
      <name val="Arial CE"/>
      <charset val="238"/>
    </font>
    <font>
      <b/>
      <i/>
      <u/>
      <sz val="9"/>
      <name val="Arial CE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i/>
      <sz val="10"/>
      <name val="Arial CE"/>
      <charset val="238"/>
    </font>
    <font>
      <b/>
      <i/>
      <sz val="11"/>
      <name val="Arial CE"/>
      <charset val="238"/>
    </font>
    <font>
      <b/>
      <i/>
      <u/>
      <sz val="10"/>
      <name val="Arial CE"/>
      <charset val="238"/>
    </font>
    <font>
      <i/>
      <sz val="9"/>
      <name val="Arial CE"/>
      <charset val="238"/>
    </font>
    <font>
      <b/>
      <u/>
      <sz val="14"/>
      <name val="Arial CE"/>
      <family val="2"/>
      <charset val="238"/>
    </font>
    <font>
      <b/>
      <u/>
      <sz val="9"/>
      <name val="Arial CE"/>
      <family val="2"/>
      <charset val="238"/>
    </font>
    <font>
      <sz val="12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FFF8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E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8">
    <xf numFmtId="0" fontId="0" fillId="0" borderId="0"/>
    <xf numFmtId="0" fontId="3" fillId="0" borderId="0"/>
    <xf numFmtId="0" fontId="24" fillId="0" borderId="0"/>
    <xf numFmtId="0" fontId="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3" fillId="0" borderId="0"/>
    <xf numFmtId="0" fontId="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8" borderId="31" applyNumberFormat="0" applyFont="0" applyAlignment="0" applyProtection="0"/>
    <xf numFmtId="0" fontId="3" fillId="8" borderId="31" applyNumberFormat="0" applyFont="0" applyAlignment="0" applyProtection="0"/>
    <xf numFmtId="0" fontId="3" fillId="8" borderId="31" applyNumberFormat="0" applyFont="0" applyAlignment="0" applyProtection="0"/>
    <xf numFmtId="0" fontId="3" fillId="8" borderId="31" applyNumberFormat="0" applyFont="0" applyAlignment="0" applyProtection="0"/>
    <xf numFmtId="0" fontId="3" fillId="8" borderId="31" applyNumberFormat="0" applyFont="0" applyAlignment="0" applyProtection="0"/>
    <xf numFmtId="0" fontId="3" fillId="8" borderId="31" applyNumberFormat="0" applyFont="0" applyAlignment="0" applyProtection="0"/>
    <xf numFmtId="0" fontId="1" fillId="0" borderId="0"/>
  </cellStyleXfs>
  <cellXfs count="655">
    <xf numFmtId="0" fontId="0" fillId="0" borderId="0" xfId="0"/>
    <xf numFmtId="3" fontId="9" fillId="0" borderId="0" xfId="0" applyNumberFormat="1" applyFont="1" applyAlignment="1">
      <alignment horizontal="right" vertical="center"/>
    </xf>
    <xf numFmtId="3" fontId="0" fillId="0" borderId="0" xfId="0" applyNumberFormat="1"/>
    <xf numFmtId="0" fontId="10" fillId="2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3" fillId="0" borderId="0" xfId="0" applyFont="1" applyFill="1" applyBorder="1" applyAlignment="1">
      <alignment horizontal="center"/>
    </xf>
    <xf numFmtId="0" fontId="14" fillId="4" borderId="6" xfId="0" applyFont="1" applyFill="1" applyBorder="1" applyAlignment="1">
      <alignment vertical="center"/>
    </xf>
    <xf numFmtId="3" fontId="15" fillId="4" borderId="7" xfId="0" applyNumberFormat="1" applyFont="1" applyFill="1" applyBorder="1" applyAlignment="1">
      <alignment vertical="center"/>
    </xf>
    <xf numFmtId="3" fontId="9" fillId="0" borderId="0" xfId="0" applyNumberFormat="1" applyFont="1" applyFill="1" applyBorder="1"/>
    <xf numFmtId="0" fontId="18" fillId="0" borderId="9" xfId="0" applyFont="1" applyFill="1" applyBorder="1" applyAlignment="1">
      <alignment vertical="center"/>
    </xf>
    <xf numFmtId="3" fontId="12" fillId="3" borderId="10" xfId="0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horizontal="right" vertical="center"/>
    </xf>
    <xf numFmtId="0" fontId="19" fillId="0" borderId="9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3" fontId="12" fillId="3" borderId="10" xfId="0" applyNumberFormat="1" applyFont="1" applyFill="1" applyBorder="1" applyAlignment="1">
      <alignment vertical="center"/>
    </xf>
    <xf numFmtId="3" fontId="19" fillId="0" borderId="0" xfId="0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12" xfId="0" applyFont="1" applyFill="1" applyBorder="1" applyAlignment="1">
      <alignment vertical="center"/>
    </xf>
    <xf numFmtId="3" fontId="19" fillId="3" borderId="13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0" fillId="0" borderId="0" xfId="0" applyBorder="1"/>
    <xf numFmtId="0" fontId="21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vertical="center"/>
    </xf>
    <xf numFmtId="3" fontId="22" fillId="3" borderId="7" xfId="0" applyNumberFormat="1" applyFont="1" applyFill="1" applyBorder="1" applyAlignment="1">
      <alignment horizontal="right" vertical="center"/>
    </xf>
    <xf numFmtId="3" fontId="22" fillId="3" borderId="10" xfId="0" applyNumberFormat="1" applyFont="1" applyFill="1" applyBorder="1" applyAlignment="1">
      <alignment horizontal="right" vertical="center"/>
    </xf>
    <xf numFmtId="0" fontId="7" fillId="0" borderId="9" xfId="1" applyFont="1" applyFill="1" applyBorder="1" applyAlignment="1">
      <alignment vertical="center"/>
    </xf>
    <xf numFmtId="0" fontId="23" fillId="0" borderId="0" xfId="0" applyFont="1"/>
    <xf numFmtId="0" fontId="14" fillId="5" borderId="9" xfId="0" applyFont="1" applyFill="1" applyBorder="1" applyAlignment="1">
      <alignment vertical="center"/>
    </xf>
    <xf numFmtId="3" fontId="15" fillId="5" borderId="10" xfId="0" applyNumberFormat="1" applyFont="1" applyFill="1" applyBorder="1" applyAlignment="1">
      <alignment vertical="center"/>
    </xf>
    <xf numFmtId="0" fontId="19" fillId="0" borderId="15" xfId="1" applyFont="1" applyFill="1" applyBorder="1" applyAlignment="1">
      <alignment vertical="center"/>
    </xf>
    <xf numFmtId="0" fontId="19" fillId="0" borderId="15" xfId="2" applyFont="1" applyFill="1" applyBorder="1" applyAlignment="1">
      <alignment vertical="center"/>
    </xf>
    <xf numFmtId="3" fontId="19" fillId="3" borderId="16" xfId="0" applyNumberFormat="1" applyFont="1" applyFill="1" applyBorder="1" applyAlignment="1">
      <alignment horizontal="right" vertical="center"/>
    </xf>
    <xf numFmtId="0" fontId="25" fillId="5" borderId="12" xfId="0" applyFont="1" applyFill="1" applyBorder="1" applyAlignment="1">
      <alignment vertical="center"/>
    </xf>
    <xf numFmtId="3" fontId="18" fillId="5" borderId="13" xfId="0" applyNumberFormat="1" applyFont="1" applyFill="1" applyBorder="1" applyAlignment="1">
      <alignment vertical="center"/>
    </xf>
    <xf numFmtId="0" fontId="9" fillId="0" borderId="0" xfId="4"/>
    <xf numFmtId="3" fontId="6" fillId="0" borderId="0" xfId="0" applyNumberFormat="1" applyFont="1" applyAlignment="1">
      <alignment horizont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4" applyBorder="1" applyAlignment="1">
      <alignment horizontal="right" vertical="center" wrapText="1"/>
    </xf>
    <xf numFmtId="0" fontId="17" fillId="9" borderId="2" xfId="53" applyFont="1" applyFill="1" applyBorder="1" applyAlignment="1">
      <alignment horizontal="center" vertical="center" wrapText="1"/>
    </xf>
    <xf numFmtId="0" fontId="17" fillId="9" borderId="38" xfId="53" applyFont="1" applyFill="1" applyBorder="1" applyAlignment="1">
      <alignment horizontal="center" vertical="center" wrapText="1"/>
    </xf>
    <xf numFmtId="49" fontId="16" fillId="10" borderId="34" xfId="4" applyNumberFormat="1" applyFont="1" applyFill="1" applyBorder="1" applyAlignment="1">
      <alignment horizontal="center"/>
    </xf>
    <xf numFmtId="0" fontId="16" fillId="10" borderId="35" xfId="4" applyFont="1" applyFill="1" applyBorder="1" applyAlignment="1">
      <alignment horizontal="center"/>
    </xf>
    <xf numFmtId="49" fontId="16" fillId="10" borderId="21" xfId="4" applyNumberFormat="1" applyFont="1" applyFill="1" applyBorder="1" applyAlignment="1">
      <alignment horizontal="center"/>
    </xf>
    <xf numFmtId="0" fontId="28" fillId="10" borderId="17" xfId="0" applyFont="1" applyFill="1" applyBorder="1"/>
    <xf numFmtId="3" fontId="16" fillId="10" borderId="34" xfId="4" applyNumberFormat="1" applyFont="1" applyFill="1" applyBorder="1" applyAlignment="1">
      <alignment horizontal="right"/>
    </xf>
    <xf numFmtId="3" fontId="16" fillId="10" borderId="21" xfId="4" applyNumberFormat="1" applyFont="1" applyFill="1" applyBorder="1" applyAlignment="1">
      <alignment horizontal="right"/>
    </xf>
    <xf numFmtId="49" fontId="16" fillId="0" borderId="28" xfId="4" applyNumberFormat="1" applyFont="1" applyFill="1" applyBorder="1" applyAlignment="1">
      <alignment horizontal="center"/>
    </xf>
    <xf numFmtId="0" fontId="16" fillId="0" borderId="11" xfId="4" applyFont="1" applyFill="1" applyBorder="1" applyAlignment="1">
      <alignment horizontal="center"/>
    </xf>
    <xf numFmtId="49" fontId="16" fillId="0" borderId="22" xfId="4" applyNumberFormat="1" applyFont="1" applyFill="1" applyBorder="1" applyAlignment="1">
      <alignment horizontal="center"/>
    </xf>
    <xf numFmtId="0" fontId="28" fillId="0" borderId="9" xfId="0" applyFont="1" applyFill="1" applyBorder="1"/>
    <xf numFmtId="3" fontId="16" fillId="3" borderId="28" xfId="4" applyNumberFormat="1" applyFont="1" applyFill="1" applyBorder="1" applyAlignment="1">
      <alignment horizontal="right"/>
    </xf>
    <xf numFmtId="3" fontId="16" fillId="3" borderId="22" xfId="4" applyNumberFormat="1" applyFont="1" applyFill="1" applyBorder="1" applyAlignment="1">
      <alignment horizontal="right"/>
    </xf>
    <xf numFmtId="3" fontId="16" fillId="0" borderId="0" xfId="4" applyNumberFormat="1" applyFont="1" applyFill="1" applyBorder="1" applyAlignment="1">
      <alignment horizontal="right"/>
    </xf>
    <xf numFmtId="0" fontId="9" fillId="0" borderId="0" xfId="4" applyFill="1"/>
    <xf numFmtId="0" fontId="13" fillId="0" borderId="0" xfId="4" applyFont="1" applyFill="1"/>
    <xf numFmtId="49" fontId="13" fillId="6" borderId="28" xfId="4" applyNumberFormat="1" applyFont="1" applyFill="1" applyBorder="1" applyAlignment="1">
      <alignment horizontal="center"/>
    </xf>
    <xf numFmtId="0" fontId="13" fillId="6" borderId="11" xfId="4" applyFont="1" applyFill="1" applyBorder="1" applyAlignment="1">
      <alignment horizontal="center"/>
    </xf>
    <xf numFmtId="49" fontId="13" fillId="6" borderId="22" xfId="4" applyNumberFormat="1" applyFont="1" applyFill="1" applyBorder="1" applyAlignment="1">
      <alignment horizontal="center"/>
    </xf>
    <xf numFmtId="49" fontId="13" fillId="6" borderId="9" xfId="4" applyNumberFormat="1" applyFont="1" applyFill="1" applyBorder="1" applyAlignment="1">
      <alignment horizontal="left"/>
    </xf>
    <xf numFmtId="3" fontId="13" fillId="6" borderId="28" xfId="4" applyNumberFormat="1" applyFont="1" applyFill="1" applyBorder="1" applyAlignment="1">
      <alignment horizontal="right"/>
    </xf>
    <xf numFmtId="3" fontId="13" fillId="6" borderId="22" xfId="4" applyNumberFormat="1" applyFont="1" applyFill="1" applyBorder="1" applyAlignment="1">
      <alignment horizontal="right"/>
    </xf>
    <xf numFmtId="49" fontId="16" fillId="10" borderId="28" xfId="4" applyNumberFormat="1" applyFont="1" applyFill="1" applyBorder="1" applyAlignment="1">
      <alignment horizontal="center"/>
    </xf>
    <xf numFmtId="0" fontId="16" fillId="10" borderId="11" xfId="4" applyFont="1" applyFill="1" applyBorder="1" applyAlignment="1">
      <alignment horizontal="center"/>
    </xf>
    <xf numFmtId="49" fontId="16" fillId="10" borderId="22" xfId="4" applyNumberFormat="1" applyFont="1" applyFill="1" applyBorder="1" applyAlignment="1">
      <alignment horizontal="center"/>
    </xf>
    <xf numFmtId="0" fontId="28" fillId="10" borderId="9" xfId="0" applyFont="1" applyFill="1" applyBorder="1"/>
    <xf numFmtId="3" fontId="16" fillId="10" borderId="28" xfId="4" applyNumberFormat="1" applyFont="1" applyFill="1" applyBorder="1" applyAlignment="1">
      <alignment horizontal="right"/>
    </xf>
    <xf numFmtId="3" fontId="16" fillId="10" borderId="22" xfId="4" applyNumberFormat="1" applyFont="1" applyFill="1" applyBorder="1" applyAlignment="1">
      <alignment horizontal="right"/>
    </xf>
    <xf numFmtId="0" fontId="13" fillId="0" borderId="0" xfId="4" applyFont="1"/>
    <xf numFmtId="49" fontId="13" fillId="6" borderId="39" xfId="4" applyNumberFormat="1" applyFont="1" applyFill="1" applyBorder="1" applyAlignment="1">
      <alignment horizontal="center"/>
    </xf>
    <xf numFmtId="0" fontId="13" fillId="6" borderId="40" xfId="4" applyFont="1" applyFill="1" applyBorder="1" applyAlignment="1">
      <alignment horizontal="center"/>
    </xf>
    <xf numFmtId="49" fontId="13" fillId="6" borderId="41" xfId="4" applyNumberFormat="1" applyFont="1" applyFill="1" applyBorder="1" applyAlignment="1">
      <alignment horizontal="center"/>
    </xf>
    <xf numFmtId="49" fontId="13" fillId="6" borderId="12" xfId="4" applyNumberFormat="1" applyFont="1" applyFill="1" applyBorder="1" applyAlignment="1">
      <alignment horizontal="left"/>
    </xf>
    <xf numFmtId="3" fontId="13" fillId="6" borderId="29" xfId="0" applyNumberFormat="1" applyFont="1" applyFill="1" applyBorder="1" applyAlignment="1">
      <alignment horizontal="right"/>
    </xf>
    <xf numFmtId="3" fontId="13" fillId="6" borderId="27" xfId="0" applyNumberFormat="1" applyFont="1" applyFill="1" applyBorder="1" applyAlignment="1">
      <alignment horizontal="right"/>
    </xf>
    <xf numFmtId="49" fontId="13" fillId="0" borderId="0" xfId="4" applyNumberFormat="1" applyFont="1" applyFill="1" applyBorder="1" applyAlignment="1">
      <alignment horizontal="center"/>
    </xf>
    <xf numFmtId="0" fontId="13" fillId="0" borderId="0" xfId="4" applyFont="1" applyFill="1" applyBorder="1" applyAlignment="1">
      <alignment horizontal="center"/>
    </xf>
    <xf numFmtId="49" fontId="13" fillId="0" borderId="0" xfId="4" applyNumberFormat="1" applyFont="1" applyFill="1" applyBorder="1" applyAlignment="1">
      <alignment horizontal="left"/>
    </xf>
    <xf numFmtId="3" fontId="23" fillId="0" borderId="0" xfId="0" applyNumberFormat="1" applyFont="1" applyFill="1" applyBorder="1" applyAlignment="1">
      <alignment horizontal="right"/>
    </xf>
    <xf numFmtId="0" fontId="9" fillId="0" borderId="0" xfId="4" applyFill="1" applyBorder="1"/>
    <xf numFmtId="0" fontId="7" fillId="0" borderId="0" xfId="0" applyFont="1" applyBorder="1" applyAlignment="1">
      <alignment horizontal="right" vertical="center" wrapText="1"/>
    </xf>
    <xf numFmtId="3" fontId="9" fillId="10" borderId="34" xfId="4" applyNumberFormat="1" applyFont="1" applyFill="1" applyBorder="1" applyAlignment="1">
      <alignment horizontal="right"/>
    </xf>
    <xf numFmtId="3" fontId="9" fillId="10" borderId="21" xfId="4" applyNumberFormat="1" applyFont="1" applyFill="1" applyBorder="1" applyAlignment="1">
      <alignment horizontal="right"/>
    </xf>
    <xf numFmtId="3" fontId="29" fillId="3" borderId="28" xfId="4" applyNumberFormat="1" applyFont="1" applyFill="1" applyBorder="1" applyAlignment="1">
      <alignment horizontal="right"/>
    </xf>
    <xf numFmtId="3" fontId="29" fillId="3" borderId="22" xfId="4" applyNumberFormat="1" applyFont="1" applyFill="1" applyBorder="1" applyAlignment="1">
      <alignment horizontal="right"/>
    </xf>
    <xf numFmtId="49" fontId="28" fillId="0" borderId="9" xfId="4" applyNumberFormat="1" applyFont="1" applyFill="1" applyBorder="1" applyAlignment="1">
      <alignment horizontal="left"/>
    </xf>
    <xf numFmtId="0" fontId="9" fillId="0" borderId="0" xfId="4" applyFont="1"/>
    <xf numFmtId="49" fontId="13" fillId="6" borderId="29" xfId="4" applyNumberFormat="1" applyFont="1" applyFill="1" applyBorder="1" applyAlignment="1">
      <alignment horizontal="center"/>
    </xf>
    <xf numFmtId="0" fontId="13" fillId="6" borderId="30" xfId="4" applyFont="1" applyFill="1" applyBorder="1" applyAlignment="1">
      <alignment horizontal="center"/>
    </xf>
    <xf numFmtId="49" fontId="13" fillId="6" borderId="27" xfId="4" applyNumberFormat="1" applyFont="1" applyFill="1" applyBorder="1" applyAlignment="1">
      <alignment horizontal="center"/>
    </xf>
    <xf numFmtId="49" fontId="13" fillId="11" borderId="0" xfId="4" applyNumberFormat="1" applyFont="1" applyFill="1" applyBorder="1" applyAlignment="1">
      <alignment horizontal="center"/>
    </xf>
    <xf numFmtId="0" fontId="13" fillId="11" borderId="0" xfId="4" applyFont="1" applyFill="1" applyBorder="1" applyAlignment="1">
      <alignment horizontal="center"/>
    </xf>
    <xf numFmtId="49" fontId="13" fillId="11" borderId="0" xfId="4" applyNumberFormat="1" applyFont="1" applyFill="1" applyBorder="1" applyAlignment="1">
      <alignment horizontal="left"/>
    </xf>
    <xf numFmtId="3" fontId="17" fillId="11" borderId="0" xfId="0" applyNumberFormat="1" applyFont="1" applyFill="1" applyBorder="1" applyAlignment="1">
      <alignment horizontal="right"/>
    </xf>
    <xf numFmtId="0" fontId="9" fillId="11" borderId="0" xfId="4" applyFill="1"/>
    <xf numFmtId="49" fontId="13" fillId="0" borderId="1" xfId="4" applyNumberFormat="1" applyFont="1" applyFill="1" applyBorder="1" applyAlignment="1">
      <alignment horizontal="center"/>
    </xf>
    <xf numFmtId="0" fontId="13" fillId="0" borderId="1" xfId="4" applyFont="1" applyFill="1" applyBorder="1" applyAlignment="1">
      <alignment horizontal="center"/>
    </xf>
    <xf numFmtId="49" fontId="13" fillId="0" borderId="1" xfId="4" applyNumberFormat="1" applyFont="1" applyFill="1" applyBorder="1" applyAlignment="1">
      <alignment horizontal="left"/>
    </xf>
    <xf numFmtId="3" fontId="13" fillId="6" borderId="28" xfId="0" applyNumberFormat="1" applyFont="1" applyFill="1" applyBorder="1" applyAlignment="1">
      <alignment horizontal="right"/>
    </xf>
    <xf numFmtId="3" fontId="13" fillId="6" borderId="22" xfId="0" applyNumberFormat="1" applyFont="1" applyFill="1" applyBorder="1" applyAlignment="1">
      <alignment horizontal="right"/>
    </xf>
    <xf numFmtId="0" fontId="28" fillId="0" borderId="12" xfId="0" applyFont="1" applyFill="1" applyBorder="1"/>
    <xf numFmtId="3" fontId="16" fillId="3" borderId="29" xfId="4" applyNumberFormat="1" applyFont="1" applyFill="1" applyBorder="1" applyAlignment="1">
      <alignment horizontal="right"/>
    </xf>
    <xf numFmtId="3" fontId="16" fillId="3" borderId="27" xfId="4" applyNumberFormat="1" applyFont="1" applyFill="1" applyBorder="1" applyAlignment="1">
      <alignment horizontal="right"/>
    </xf>
    <xf numFmtId="49" fontId="16" fillId="0" borderId="34" xfId="4" applyNumberFormat="1" applyFont="1" applyFill="1" applyBorder="1" applyAlignment="1">
      <alignment horizontal="center"/>
    </xf>
    <xf numFmtId="0" fontId="16" fillId="0" borderId="35" xfId="4" applyFont="1" applyFill="1" applyBorder="1" applyAlignment="1">
      <alignment horizontal="center"/>
    </xf>
    <xf numFmtId="49" fontId="16" fillId="0" borderId="21" xfId="4" applyNumberFormat="1" applyFont="1" applyFill="1" applyBorder="1" applyAlignment="1">
      <alignment horizontal="center"/>
    </xf>
    <xf numFmtId="0" fontId="28" fillId="0" borderId="17" xfId="0" applyFont="1" applyFill="1" applyBorder="1"/>
    <xf numFmtId="3" fontId="16" fillId="3" borderId="34" xfId="4" applyNumberFormat="1" applyFont="1" applyFill="1" applyBorder="1" applyAlignment="1">
      <alignment horizontal="right"/>
    </xf>
    <xf numFmtId="3" fontId="16" fillId="3" borderId="21" xfId="4" applyNumberFormat="1" applyFont="1" applyFill="1" applyBorder="1" applyAlignment="1">
      <alignment horizontal="right"/>
    </xf>
    <xf numFmtId="0" fontId="31" fillId="0" borderId="9" xfId="0" applyFont="1" applyFill="1" applyBorder="1"/>
    <xf numFmtId="49" fontId="13" fillId="0" borderId="42" xfId="4" applyNumberFormat="1" applyFont="1" applyFill="1" applyBorder="1" applyAlignment="1">
      <alignment horizontal="center"/>
    </xf>
    <xf numFmtId="0" fontId="13" fillId="0" borderId="43" xfId="4" applyFont="1" applyFill="1" applyBorder="1" applyAlignment="1">
      <alignment horizontal="center"/>
    </xf>
    <xf numFmtId="49" fontId="13" fillId="0" borderId="43" xfId="4" applyNumberFormat="1" applyFont="1" applyFill="1" applyBorder="1" applyAlignment="1">
      <alignment horizontal="center"/>
    </xf>
    <xf numFmtId="49" fontId="13" fillId="0" borderId="16" xfId="4" applyNumberFormat="1" applyFont="1" applyFill="1" applyBorder="1" applyAlignment="1">
      <alignment horizontal="left"/>
    </xf>
    <xf numFmtId="3" fontId="13" fillId="3" borderId="23" xfId="4" applyNumberFormat="1" applyFont="1" applyFill="1" applyBorder="1" applyAlignment="1">
      <alignment horizontal="right"/>
    </xf>
    <xf numFmtId="3" fontId="13" fillId="3" borderId="25" xfId="4" applyNumberFormat="1" applyFont="1" applyFill="1" applyBorder="1" applyAlignment="1">
      <alignment horizontal="right"/>
    </xf>
    <xf numFmtId="3" fontId="9" fillId="0" borderId="0" xfId="4" applyNumberFormat="1" applyFont="1" applyFill="1"/>
    <xf numFmtId="3" fontId="9" fillId="0" borderId="0" xfId="4" applyNumberFormat="1" applyFont="1" applyFill="1" applyBorder="1"/>
    <xf numFmtId="0" fontId="16" fillId="0" borderId="23" xfId="4" applyFont="1" applyFill="1" applyBorder="1" applyAlignment="1"/>
    <xf numFmtId="0" fontId="7" fillId="0" borderId="24" xfId="0" applyFont="1" applyFill="1" applyBorder="1" applyAlignment="1"/>
    <xf numFmtId="0" fontId="20" fillId="0" borderId="24" xfId="0" applyFont="1" applyFill="1" applyBorder="1" applyAlignment="1"/>
    <xf numFmtId="0" fontId="28" fillId="0" borderId="25" xfId="0" applyFont="1" applyFill="1" applyBorder="1" applyAlignment="1"/>
    <xf numFmtId="0" fontId="13" fillId="0" borderId="0" xfId="4" applyFont="1" applyFill="1" applyBorder="1" applyAlignment="1">
      <alignment horizontal="left" indent="2"/>
    </xf>
    <xf numFmtId="3" fontId="17" fillId="0" borderId="0" xfId="0" applyNumberFormat="1" applyFont="1" applyFill="1" applyBorder="1" applyAlignment="1">
      <alignment horizontal="center"/>
    </xf>
    <xf numFmtId="3" fontId="16" fillId="0" borderId="0" xfId="4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right"/>
    </xf>
    <xf numFmtId="3" fontId="0" fillId="0" borderId="0" xfId="0" applyNumberFormat="1" applyFont="1" applyFill="1" applyAlignment="1">
      <alignment horizontal="right"/>
    </xf>
    <xf numFmtId="4" fontId="0" fillId="0" borderId="0" xfId="0" applyNumberFormat="1"/>
    <xf numFmtId="0" fontId="7" fillId="0" borderId="1" xfId="0" applyFont="1" applyBorder="1" applyAlignment="1">
      <alignment horizontal="right" vertical="center" wrapText="1"/>
    </xf>
    <xf numFmtId="0" fontId="18" fillId="0" borderId="8" xfId="0" applyFont="1" applyFill="1" applyBorder="1" applyAlignment="1">
      <alignment vertical="center"/>
    </xf>
    <xf numFmtId="3" fontId="18" fillId="3" borderId="8" xfId="0" applyNumberFormat="1" applyFont="1" applyFill="1" applyBorder="1" applyAlignment="1">
      <alignment horizontal="right"/>
    </xf>
    <xf numFmtId="3" fontId="9" fillId="0" borderId="0" xfId="0" applyNumberFormat="1" applyFont="1" applyFill="1" applyAlignment="1">
      <alignment horizontal="right"/>
    </xf>
    <xf numFmtId="3" fontId="18" fillId="3" borderId="9" xfId="0" applyNumberFormat="1" applyFont="1" applyFill="1" applyBorder="1" applyAlignment="1">
      <alignment horizontal="right"/>
    </xf>
    <xf numFmtId="3" fontId="7" fillId="3" borderId="9" xfId="0" applyNumberFormat="1" applyFont="1" applyFill="1" applyBorder="1" applyAlignment="1">
      <alignment horizontal="right"/>
    </xf>
    <xf numFmtId="3" fontId="7" fillId="3" borderId="15" xfId="0" applyNumberFormat="1" applyFont="1" applyFill="1" applyBorder="1" applyAlignment="1">
      <alignment horizontal="right"/>
    </xf>
    <xf numFmtId="49" fontId="19" fillId="0" borderId="48" xfId="0" applyNumberFormat="1" applyFont="1" applyFill="1" applyBorder="1" applyAlignment="1">
      <alignment vertical="center"/>
    </xf>
    <xf numFmtId="49" fontId="32" fillId="0" borderId="48" xfId="0" applyNumberFormat="1" applyFont="1" applyFill="1" applyBorder="1" applyAlignment="1">
      <alignment vertical="center"/>
    </xf>
    <xf numFmtId="3" fontId="8" fillId="3" borderId="9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0" fontId="20" fillId="0" borderId="0" xfId="0" applyFont="1" applyFill="1"/>
    <xf numFmtId="3" fontId="3" fillId="0" borderId="0" xfId="0" applyNumberFormat="1" applyFont="1"/>
    <xf numFmtId="49" fontId="13" fillId="0" borderId="0" xfId="0" applyNumberFormat="1" applyFont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0" fontId="34" fillId="0" borderId="14" xfId="0" applyFont="1" applyFill="1" applyBorder="1" applyAlignment="1">
      <alignment vertical="center"/>
    </xf>
    <xf numFmtId="49" fontId="16" fillId="3" borderId="18" xfId="0" applyNumberFormat="1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vertical="center"/>
    </xf>
    <xf numFmtId="3" fontId="12" fillId="3" borderId="6" xfId="0" applyNumberFormat="1" applyFont="1" applyFill="1" applyBorder="1" applyAlignment="1">
      <alignment horizontal="right"/>
    </xf>
    <xf numFmtId="3" fontId="12" fillId="3" borderId="9" xfId="0" applyNumberFormat="1" applyFont="1" applyFill="1" applyBorder="1" applyAlignment="1">
      <alignment horizontal="right"/>
    </xf>
    <xf numFmtId="3" fontId="12" fillId="3" borderId="8" xfId="0" applyNumberFormat="1" applyFont="1" applyFill="1" applyBorder="1" applyAlignment="1">
      <alignment horizontal="right"/>
    </xf>
    <xf numFmtId="3" fontId="33" fillId="0" borderId="0" xfId="0" applyNumberFormat="1" applyFont="1" applyAlignment="1">
      <alignment horizontal="right"/>
    </xf>
    <xf numFmtId="0" fontId="12" fillId="0" borderId="48" xfId="0" applyFont="1" applyFill="1" applyBorder="1" applyAlignment="1">
      <alignment vertical="center"/>
    </xf>
    <xf numFmtId="0" fontId="12" fillId="0" borderId="48" xfId="2" applyFont="1" applyFill="1" applyBorder="1" applyAlignment="1">
      <alignment vertical="center"/>
    </xf>
    <xf numFmtId="3" fontId="19" fillId="3" borderId="9" xfId="0" applyNumberFormat="1" applyFont="1" applyFill="1" applyBorder="1" applyAlignment="1">
      <alignment horizontal="right"/>
    </xf>
    <xf numFmtId="3" fontId="19" fillId="0" borderId="0" xfId="0" applyNumberFormat="1" applyFont="1" applyFill="1" applyBorder="1" applyAlignment="1">
      <alignment horizontal="right"/>
    </xf>
    <xf numFmtId="0" fontId="19" fillId="0" borderId="42" xfId="0" applyFont="1" applyFill="1" applyBorder="1" applyAlignment="1">
      <alignment vertical="center"/>
    </xf>
    <xf numFmtId="0" fontId="19" fillId="0" borderId="48" xfId="0" applyFont="1" applyFill="1" applyBorder="1" applyAlignment="1">
      <alignment vertical="center"/>
    </xf>
    <xf numFmtId="3" fontId="19" fillId="3" borderId="6" xfId="0" applyNumberFormat="1" applyFont="1" applyFill="1" applyBorder="1" applyAlignment="1">
      <alignment horizontal="right"/>
    </xf>
    <xf numFmtId="0" fontId="19" fillId="0" borderId="44" xfId="0" applyFont="1" applyFill="1" applyBorder="1" applyAlignment="1">
      <alignment vertical="center"/>
    </xf>
    <xf numFmtId="3" fontId="19" fillId="3" borderId="19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left" vertical="center" wrapText="1"/>
    </xf>
    <xf numFmtId="3" fontId="23" fillId="0" borderId="0" xfId="0" applyNumberFormat="1" applyFont="1" applyFill="1" applyAlignment="1">
      <alignment horizontal="center"/>
    </xf>
    <xf numFmtId="3" fontId="19" fillId="3" borderId="8" xfId="0" applyNumberFormat="1" applyFont="1" applyFill="1" applyBorder="1" applyAlignment="1">
      <alignment horizontal="right"/>
    </xf>
    <xf numFmtId="49" fontId="19" fillId="0" borderId="9" xfId="0" applyNumberFormat="1" applyFont="1" applyFill="1" applyBorder="1" applyAlignment="1">
      <alignment vertical="center"/>
    </xf>
    <xf numFmtId="3" fontId="30" fillId="0" borderId="0" xfId="0" applyNumberFormat="1" applyFont="1" applyFill="1" applyAlignment="1">
      <alignment horizontal="right"/>
    </xf>
    <xf numFmtId="0" fontId="35" fillId="0" borderId="9" xfId="0" applyFont="1" applyFill="1" applyBorder="1" applyAlignment="1">
      <alignment vertical="center"/>
    </xf>
    <xf numFmtId="3" fontId="36" fillId="0" borderId="0" xfId="0" applyNumberFormat="1" applyFont="1" applyFill="1" applyAlignment="1">
      <alignment horizontal="right"/>
    </xf>
    <xf numFmtId="3" fontId="37" fillId="3" borderId="9" xfId="0" applyNumberFormat="1" applyFont="1" applyFill="1" applyBorder="1" applyAlignment="1">
      <alignment horizontal="right"/>
    </xf>
    <xf numFmtId="14" fontId="35" fillId="0" borderId="9" xfId="0" applyNumberFormat="1" applyFont="1" applyFill="1" applyBorder="1" applyAlignment="1">
      <alignment vertical="center"/>
    </xf>
    <xf numFmtId="3" fontId="35" fillId="3" borderId="9" xfId="0" applyNumberFormat="1" applyFont="1" applyFill="1" applyBorder="1" applyAlignment="1">
      <alignment horizontal="right"/>
    </xf>
    <xf numFmtId="49" fontId="19" fillId="0" borderId="15" xfId="0" applyNumberFormat="1" applyFont="1" applyFill="1" applyBorder="1" applyAlignment="1">
      <alignment vertical="center"/>
    </xf>
    <xf numFmtId="3" fontId="19" fillId="3" borderId="15" xfId="0" applyNumberFormat="1" applyFont="1" applyFill="1" applyBorder="1" applyAlignment="1">
      <alignment horizontal="right"/>
    </xf>
    <xf numFmtId="49" fontId="12" fillId="0" borderId="15" xfId="0" applyNumberFormat="1" applyFont="1" applyFill="1" applyBorder="1" applyAlignment="1">
      <alignment vertical="center"/>
    </xf>
    <xf numFmtId="3" fontId="12" fillId="3" borderId="15" xfId="0" applyNumberFormat="1" applyFont="1" applyFill="1" applyBorder="1" applyAlignment="1">
      <alignment horizontal="right"/>
    </xf>
    <xf numFmtId="3" fontId="17" fillId="0" borderId="0" xfId="0" applyNumberFormat="1" applyFont="1" applyFill="1" applyAlignment="1">
      <alignment horizontal="right"/>
    </xf>
    <xf numFmtId="49" fontId="7" fillId="0" borderId="15" xfId="0" applyNumberFormat="1" applyFont="1" applyFill="1" applyBorder="1" applyAlignment="1">
      <alignment vertical="center"/>
    </xf>
    <xf numFmtId="3" fontId="38" fillId="3" borderId="15" xfId="0" applyNumberFormat="1" applyFont="1" applyFill="1" applyBorder="1" applyAlignment="1">
      <alignment horizontal="right"/>
    </xf>
    <xf numFmtId="3" fontId="19" fillId="3" borderId="12" xfId="0" applyNumberFormat="1" applyFont="1" applyFill="1" applyBorder="1" applyAlignment="1">
      <alignment horizontal="right"/>
    </xf>
    <xf numFmtId="4" fontId="9" fillId="0" borderId="0" xfId="0" applyNumberFormat="1" applyFont="1" applyFill="1" applyAlignment="1">
      <alignment horizontal="right"/>
    </xf>
    <xf numFmtId="0" fontId="19" fillId="0" borderId="0" xfId="0" applyFont="1" applyFill="1" applyBorder="1" applyAlignment="1">
      <alignment vertical="center"/>
    </xf>
    <xf numFmtId="3" fontId="23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49" fontId="12" fillId="2" borderId="5" xfId="2" applyNumberFormat="1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3" fontId="12" fillId="7" borderId="10" xfId="0" applyNumberFormat="1" applyFont="1" applyFill="1" applyBorder="1" applyAlignment="1">
      <alignment horizontal="right" vertical="center"/>
    </xf>
    <xf numFmtId="3" fontId="19" fillId="7" borderId="10" xfId="0" applyNumberFormat="1" applyFont="1" applyFill="1" applyBorder="1" applyAlignment="1">
      <alignment horizontal="right" vertical="center"/>
    </xf>
    <xf numFmtId="3" fontId="12" fillId="7" borderId="10" xfId="0" applyNumberFormat="1" applyFont="1" applyFill="1" applyBorder="1" applyAlignment="1">
      <alignment vertical="center"/>
    </xf>
    <xf numFmtId="3" fontId="19" fillId="7" borderId="13" xfId="0" applyNumberFormat="1" applyFont="1" applyFill="1" applyBorder="1" applyAlignment="1">
      <alignment horizontal="right" vertical="center"/>
    </xf>
    <xf numFmtId="3" fontId="22" fillId="7" borderId="7" xfId="0" applyNumberFormat="1" applyFont="1" applyFill="1" applyBorder="1" applyAlignment="1">
      <alignment horizontal="right" vertical="center"/>
    </xf>
    <xf numFmtId="3" fontId="22" fillId="7" borderId="10" xfId="0" applyNumberFormat="1" applyFont="1" applyFill="1" applyBorder="1" applyAlignment="1">
      <alignment horizontal="right" vertical="center"/>
    </xf>
    <xf numFmtId="3" fontId="19" fillId="7" borderId="16" xfId="0" applyNumberFormat="1" applyFont="1" applyFill="1" applyBorder="1" applyAlignment="1">
      <alignment horizontal="right" vertical="center"/>
    </xf>
    <xf numFmtId="4" fontId="15" fillId="4" borderId="7" xfId="0" applyNumberFormat="1" applyFont="1" applyFill="1" applyBorder="1" applyAlignment="1">
      <alignment vertical="center"/>
    </xf>
    <xf numFmtId="4" fontId="19" fillId="12" borderId="10" xfId="0" applyNumberFormat="1" applyFont="1" applyFill="1" applyBorder="1" applyAlignment="1">
      <alignment horizontal="right" vertical="center"/>
    </xf>
    <xf numFmtId="4" fontId="12" fillId="12" borderId="10" xfId="0" applyNumberFormat="1" applyFont="1" applyFill="1" applyBorder="1" applyAlignment="1">
      <alignment horizontal="right" vertical="center"/>
    </xf>
    <xf numFmtId="4" fontId="12" fillId="12" borderId="10" xfId="0" applyNumberFormat="1" applyFont="1" applyFill="1" applyBorder="1" applyAlignment="1">
      <alignment vertical="center"/>
    </xf>
    <xf numFmtId="4" fontId="19" fillId="12" borderId="13" xfId="0" applyNumberFormat="1" applyFont="1" applyFill="1" applyBorder="1" applyAlignment="1">
      <alignment horizontal="right" vertical="center"/>
    </xf>
    <xf numFmtId="4" fontId="15" fillId="5" borderId="10" xfId="0" applyNumberFormat="1" applyFont="1" applyFill="1" applyBorder="1" applyAlignment="1">
      <alignment vertical="center"/>
    </xf>
    <xf numFmtId="4" fontId="18" fillId="5" borderId="13" xfId="0" applyNumberFormat="1" applyFont="1" applyFill="1" applyBorder="1" applyAlignment="1">
      <alignment vertical="center"/>
    </xf>
    <xf numFmtId="4" fontId="22" fillId="12" borderId="7" xfId="0" applyNumberFormat="1" applyFont="1" applyFill="1" applyBorder="1" applyAlignment="1">
      <alignment horizontal="right" vertical="center"/>
    </xf>
    <xf numFmtId="4" fontId="22" fillId="12" borderId="10" xfId="0" applyNumberFormat="1" applyFont="1" applyFill="1" applyBorder="1" applyAlignment="1">
      <alignment horizontal="right" vertical="center"/>
    </xf>
    <xf numFmtId="4" fontId="19" fillId="12" borderId="16" xfId="0" applyNumberFormat="1" applyFont="1" applyFill="1" applyBorder="1" applyAlignment="1">
      <alignment horizontal="right" vertical="center"/>
    </xf>
    <xf numFmtId="4" fontId="13" fillId="6" borderId="28" xfId="4" applyNumberFormat="1" applyFont="1" applyFill="1" applyBorder="1" applyAlignment="1">
      <alignment horizontal="right"/>
    </xf>
    <xf numFmtId="4" fontId="13" fillId="6" borderId="22" xfId="4" applyNumberFormat="1" applyFont="1" applyFill="1" applyBorder="1" applyAlignment="1">
      <alignment horizontal="right"/>
    </xf>
    <xf numFmtId="4" fontId="16" fillId="10" borderId="28" xfId="4" applyNumberFormat="1" applyFont="1" applyFill="1" applyBorder="1" applyAlignment="1">
      <alignment horizontal="right"/>
    </xf>
    <xf numFmtId="4" fontId="16" fillId="10" borderId="22" xfId="4" applyNumberFormat="1" applyFont="1" applyFill="1" applyBorder="1" applyAlignment="1">
      <alignment horizontal="right"/>
    </xf>
    <xf numFmtId="4" fontId="13" fillId="6" borderId="29" xfId="0" applyNumberFormat="1" applyFont="1" applyFill="1" applyBorder="1" applyAlignment="1">
      <alignment horizontal="right"/>
    </xf>
    <xf numFmtId="4" fontId="13" fillId="6" borderId="27" xfId="0" applyNumberFormat="1" applyFont="1" applyFill="1" applyBorder="1" applyAlignment="1">
      <alignment horizontal="right"/>
    </xf>
    <xf numFmtId="4" fontId="16" fillId="12" borderId="22" xfId="4" applyNumberFormat="1" applyFont="1" applyFill="1" applyBorder="1" applyAlignment="1">
      <alignment horizontal="right"/>
    </xf>
    <xf numFmtId="4" fontId="16" fillId="12" borderId="21" xfId="4" applyNumberFormat="1" applyFont="1" applyFill="1" applyBorder="1" applyAlignment="1">
      <alignment horizontal="right"/>
    </xf>
    <xf numFmtId="4" fontId="13" fillId="12" borderId="25" xfId="4" applyNumberFormat="1" applyFont="1" applyFill="1" applyBorder="1" applyAlignment="1">
      <alignment horizontal="right"/>
    </xf>
    <xf numFmtId="4" fontId="16" fillId="12" borderId="34" xfId="4" applyNumberFormat="1" applyFont="1" applyFill="1" applyBorder="1" applyAlignment="1">
      <alignment horizontal="right"/>
    </xf>
    <xf numFmtId="4" fontId="16" fillId="12" borderId="28" xfId="4" applyNumberFormat="1" applyFont="1" applyFill="1" applyBorder="1" applyAlignment="1">
      <alignment horizontal="right"/>
    </xf>
    <xf numFmtId="4" fontId="13" fillId="12" borderId="23" xfId="4" applyNumberFormat="1" applyFont="1" applyFill="1" applyBorder="1" applyAlignment="1">
      <alignment horizontal="right"/>
    </xf>
    <xf numFmtId="3" fontId="16" fillId="7" borderId="28" xfId="4" applyNumberFormat="1" applyFont="1" applyFill="1" applyBorder="1" applyAlignment="1">
      <alignment horizontal="right"/>
    </xf>
    <xf numFmtId="3" fontId="16" fillId="7" borderId="22" xfId="4" applyNumberFormat="1" applyFont="1" applyFill="1" applyBorder="1" applyAlignment="1">
      <alignment horizontal="right"/>
    </xf>
    <xf numFmtId="3" fontId="29" fillId="7" borderId="28" xfId="4" applyNumberFormat="1" applyFont="1" applyFill="1" applyBorder="1" applyAlignment="1">
      <alignment horizontal="right"/>
    </xf>
    <xf numFmtId="3" fontId="29" fillId="7" borderId="22" xfId="4" applyNumberFormat="1" applyFont="1" applyFill="1" applyBorder="1" applyAlignment="1">
      <alignment horizontal="right"/>
    </xf>
    <xf numFmtId="3" fontId="16" fillId="7" borderId="29" xfId="4" applyNumberFormat="1" applyFont="1" applyFill="1" applyBorder="1" applyAlignment="1">
      <alignment horizontal="right"/>
    </xf>
    <xf numFmtId="3" fontId="16" fillId="7" borderId="27" xfId="4" applyNumberFormat="1" applyFont="1" applyFill="1" applyBorder="1" applyAlignment="1">
      <alignment horizontal="right"/>
    </xf>
    <xf numFmtId="3" fontId="16" fillId="7" borderId="34" xfId="4" applyNumberFormat="1" applyFont="1" applyFill="1" applyBorder="1" applyAlignment="1">
      <alignment horizontal="right"/>
    </xf>
    <xf numFmtId="3" fontId="16" fillId="7" borderId="21" xfId="4" applyNumberFormat="1" applyFont="1" applyFill="1" applyBorder="1" applyAlignment="1">
      <alignment horizontal="right"/>
    </xf>
    <xf numFmtId="3" fontId="13" fillId="7" borderId="23" xfId="4" applyNumberFormat="1" applyFont="1" applyFill="1" applyBorder="1" applyAlignment="1">
      <alignment horizontal="right"/>
    </xf>
    <xf numFmtId="3" fontId="13" fillId="7" borderId="25" xfId="4" applyNumberFormat="1" applyFont="1" applyFill="1" applyBorder="1" applyAlignment="1">
      <alignment horizontal="right"/>
    </xf>
    <xf numFmtId="3" fontId="17" fillId="0" borderId="0" xfId="0" applyNumberFormat="1" applyFont="1" applyFill="1" applyAlignment="1">
      <alignment horizontal="center"/>
    </xf>
    <xf numFmtId="3" fontId="18" fillId="7" borderId="8" xfId="0" applyNumberFormat="1" applyFont="1" applyFill="1" applyBorder="1" applyAlignment="1">
      <alignment horizontal="right"/>
    </xf>
    <xf numFmtId="3" fontId="18" fillId="7" borderId="9" xfId="0" applyNumberFormat="1" applyFont="1" applyFill="1" applyBorder="1" applyAlignment="1">
      <alignment horizontal="right"/>
    </xf>
    <xf numFmtId="3" fontId="7" fillId="7" borderId="9" xfId="0" applyNumberFormat="1" applyFont="1" applyFill="1" applyBorder="1" applyAlignment="1">
      <alignment horizontal="right"/>
    </xf>
    <xf numFmtId="3" fontId="7" fillId="7" borderId="15" xfId="0" applyNumberFormat="1" applyFont="1" applyFill="1" applyBorder="1" applyAlignment="1">
      <alignment horizontal="right"/>
    </xf>
    <xf numFmtId="3" fontId="8" fillId="7" borderId="9" xfId="0" applyNumberFormat="1" applyFont="1" applyFill="1" applyBorder="1" applyAlignment="1">
      <alignment horizontal="right"/>
    </xf>
    <xf numFmtId="49" fontId="16" fillId="7" borderId="18" xfId="0" applyNumberFormat="1" applyFont="1" applyFill="1" applyBorder="1" applyAlignment="1">
      <alignment horizontal="center" vertical="center"/>
    </xf>
    <xf numFmtId="3" fontId="12" fillId="7" borderId="6" xfId="0" applyNumberFormat="1" applyFont="1" applyFill="1" applyBorder="1" applyAlignment="1">
      <alignment horizontal="right"/>
    </xf>
    <xf numFmtId="3" fontId="12" fillId="7" borderId="9" xfId="0" applyNumberFormat="1" applyFont="1" applyFill="1" applyBorder="1" applyAlignment="1">
      <alignment horizontal="right"/>
    </xf>
    <xf numFmtId="3" fontId="12" fillId="7" borderId="8" xfId="0" applyNumberFormat="1" applyFont="1" applyFill="1" applyBorder="1" applyAlignment="1">
      <alignment horizontal="right"/>
    </xf>
    <xf numFmtId="3" fontId="19" fillId="7" borderId="9" xfId="0" applyNumberFormat="1" applyFont="1" applyFill="1" applyBorder="1" applyAlignment="1">
      <alignment horizontal="right"/>
    </xf>
    <xf numFmtId="3" fontId="19" fillId="7" borderId="6" xfId="0" applyNumberFormat="1" applyFont="1" applyFill="1" applyBorder="1" applyAlignment="1">
      <alignment horizontal="right"/>
    </xf>
    <xf numFmtId="3" fontId="19" fillId="7" borderId="19" xfId="0" applyNumberFormat="1" applyFont="1" applyFill="1" applyBorder="1" applyAlignment="1">
      <alignment horizontal="right"/>
    </xf>
    <xf numFmtId="3" fontId="19" fillId="7" borderId="8" xfId="0" applyNumberFormat="1" applyFont="1" applyFill="1" applyBorder="1" applyAlignment="1">
      <alignment horizontal="right"/>
    </xf>
    <xf numFmtId="3" fontId="37" fillId="7" borderId="9" xfId="0" applyNumberFormat="1" applyFont="1" applyFill="1" applyBorder="1" applyAlignment="1">
      <alignment horizontal="right"/>
    </xf>
    <xf numFmtId="3" fontId="35" fillId="7" borderId="9" xfId="0" applyNumberFormat="1" applyFont="1" applyFill="1" applyBorder="1" applyAlignment="1">
      <alignment horizontal="right"/>
    </xf>
    <xf numFmtId="3" fontId="19" fillId="7" borderId="15" xfId="0" applyNumberFormat="1" applyFont="1" applyFill="1" applyBorder="1" applyAlignment="1">
      <alignment horizontal="right"/>
    </xf>
    <xf numFmtId="3" fontId="12" fillId="7" borderId="15" xfId="0" applyNumberFormat="1" applyFont="1" applyFill="1" applyBorder="1" applyAlignment="1">
      <alignment horizontal="right"/>
    </xf>
    <xf numFmtId="3" fontId="38" fillId="7" borderId="15" xfId="0" applyNumberFormat="1" applyFont="1" applyFill="1" applyBorder="1" applyAlignment="1">
      <alignment horizontal="right"/>
    </xf>
    <xf numFmtId="3" fontId="19" fillId="7" borderId="12" xfId="0" applyNumberFormat="1" applyFont="1" applyFill="1" applyBorder="1" applyAlignment="1">
      <alignment horizontal="right"/>
    </xf>
    <xf numFmtId="4" fontId="18" fillId="12" borderId="8" xfId="0" applyNumberFormat="1" applyFont="1" applyFill="1" applyBorder="1" applyAlignment="1">
      <alignment horizontal="right"/>
    </xf>
    <xf numFmtId="4" fontId="18" fillId="12" borderId="9" xfId="0" applyNumberFormat="1" applyFont="1" applyFill="1" applyBorder="1" applyAlignment="1">
      <alignment horizontal="right"/>
    </xf>
    <xf numFmtId="4" fontId="7" fillId="12" borderId="9" xfId="0" applyNumberFormat="1" applyFont="1" applyFill="1" applyBorder="1" applyAlignment="1">
      <alignment horizontal="right"/>
    </xf>
    <xf numFmtId="4" fontId="7" fillId="12" borderId="15" xfId="0" applyNumberFormat="1" applyFont="1" applyFill="1" applyBorder="1" applyAlignment="1">
      <alignment horizontal="right"/>
    </xf>
    <xf numFmtId="4" fontId="8" fillId="12" borderId="9" xfId="0" applyNumberFormat="1" applyFont="1" applyFill="1" applyBorder="1" applyAlignment="1">
      <alignment horizontal="right"/>
    </xf>
    <xf numFmtId="4" fontId="16" fillId="12" borderId="18" xfId="0" applyNumberFormat="1" applyFont="1" applyFill="1" applyBorder="1" applyAlignment="1">
      <alignment horizontal="center" vertical="center"/>
    </xf>
    <xf numFmtId="4" fontId="12" fillId="12" borderId="6" xfId="0" applyNumberFormat="1" applyFont="1" applyFill="1" applyBorder="1" applyAlignment="1">
      <alignment horizontal="right"/>
    </xf>
    <xf numFmtId="4" fontId="12" fillId="12" borderId="9" xfId="0" applyNumberFormat="1" applyFont="1" applyFill="1" applyBorder="1" applyAlignment="1">
      <alignment horizontal="right"/>
    </xf>
    <xf numFmtId="4" fontId="12" fillId="12" borderId="8" xfId="0" applyNumberFormat="1" applyFont="1" applyFill="1" applyBorder="1" applyAlignment="1">
      <alignment horizontal="right"/>
    </xf>
    <xf numFmtId="4" fontId="19" fillId="12" borderId="9" xfId="0" applyNumberFormat="1" applyFont="1" applyFill="1" applyBorder="1" applyAlignment="1">
      <alignment horizontal="right"/>
    </xf>
    <xf numFmtId="4" fontId="19" fillId="12" borderId="6" xfId="0" applyNumberFormat="1" applyFont="1" applyFill="1" applyBorder="1" applyAlignment="1">
      <alignment horizontal="right"/>
    </xf>
    <xf numFmtId="4" fontId="19" fillId="12" borderId="19" xfId="0" applyNumberFormat="1" applyFont="1" applyFill="1" applyBorder="1" applyAlignment="1">
      <alignment horizontal="right"/>
    </xf>
    <xf numFmtId="4" fontId="19" fillId="12" borderId="8" xfId="0" applyNumberFormat="1" applyFont="1" applyFill="1" applyBorder="1" applyAlignment="1">
      <alignment horizontal="right"/>
    </xf>
    <xf numFmtId="4" fontId="37" fillId="12" borderId="9" xfId="0" applyNumberFormat="1" applyFont="1" applyFill="1" applyBorder="1" applyAlignment="1">
      <alignment horizontal="right"/>
    </xf>
    <xf numFmtId="4" fontId="35" fillId="12" borderId="9" xfId="0" applyNumberFormat="1" applyFont="1" applyFill="1" applyBorder="1" applyAlignment="1">
      <alignment horizontal="right"/>
    </xf>
    <xf numFmtId="4" fontId="19" fillId="12" borderId="15" xfId="0" applyNumberFormat="1" applyFont="1" applyFill="1" applyBorder="1" applyAlignment="1">
      <alignment horizontal="right"/>
    </xf>
    <xf numFmtId="4" fontId="12" fillId="12" borderId="15" xfId="0" applyNumberFormat="1" applyFont="1" applyFill="1" applyBorder="1" applyAlignment="1">
      <alignment horizontal="right"/>
    </xf>
    <xf numFmtId="4" fontId="38" fillId="12" borderId="15" xfId="0" applyNumberFormat="1" applyFont="1" applyFill="1" applyBorder="1" applyAlignment="1">
      <alignment horizontal="right"/>
    </xf>
    <xf numFmtId="4" fontId="19" fillId="12" borderId="12" xfId="0" applyNumberFormat="1" applyFont="1" applyFill="1" applyBorder="1" applyAlignment="1">
      <alignment horizontal="right"/>
    </xf>
    <xf numFmtId="4" fontId="13" fillId="6" borderId="28" xfId="0" applyNumberFormat="1" applyFont="1" applyFill="1" applyBorder="1" applyAlignment="1">
      <alignment horizontal="right"/>
    </xf>
    <xf numFmtId="4" fontId="13" fillId="6" borderId="22" xfId="0" applyNumberFormat="1" applyFont="1" applyFill="1" applyBorder="1" applyAlignment="1">
      <alignment horizontal="right"/>
    </xf>
    <xf numFmtId="4" fontId="17" fillId="0" borderId="0" xfId="0" applyNumberFormat="1" applyFont="1" applyFill="1" applyBorder="1" applyAlignment="1">
      <alignment horizontal="center"/>
    </xf>
    <xf numFmtId="0" fontId="16" fillId="0" borderId="48" xfId="4" applyFont="1" applyFill="1" applyBorder="1" applyAlignment="1"/>
    <xf numFmtId="0" fontId="7" fillId="0" borderId="50" xfId="0" applyFont="1" applyFill="1" applyBorder="1" applyAlignment="1"/>
    <xf numFmtId="0" fontId="20" fillId="0" borderId="50" xfId="0" applyFont="1" applyFill="1" applyBorder="1" applyAlignment="1"/>
    <xf numFmtId="4" fontId="0" fillId="0" borderId="0" xfId="0" applyNumberFormat="1" applyFill="1"/>
    <xf numFmtId="0" fontId="7" fillId="0" borderId="1" xfId="0" applyFont="1" applyFill="1" applyBorder="1" applyAlignment="1">
      <alignment horizontal="left" vertical="center"/>
    </xf>
    <xf numFmtId="0" fontId="6" fillId="0" borderId="0" xfId="4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" fontId="29" fillId="12" borderId="28" xfId="4" applyNumberFormat="1" applyFont="1" applyFill="1" applyBorder="1" applyAlignment="1">
      <alignment horizontal="right"/>
    </xf>
    <xf numFmtId="4" fontId="29" fillId="12" borderId="22" xfId="4" applyNumberFormat="1" applyFont="1" applyFill="1" applyBorder="1" applyAlignment="1">
      <alignment horizontal="right"/>
    </xf>
    <xf numFmtId="4" fontId="16" fillId="12" borderId="29" xfId="4" applyNumberFormat="1" applyFont="1" applyFill="1" applyBorder="1" applyAlignment="1">
      <alignment horizontal="right"/>
    </xf>
    <xf numFmtId="4" fontId="16" fillId="12" borderId="27" xfId="4" applyNumberFormat="1" applyFont="1" applyFill="1" applyBorder="1" applyAlignment="1">
      <alignment horizontal="right"/>
    </xf>
    <xf numFmtId="4" fontId="17" fillId="0" borderId="0" xfId="4" applyNumberFormat="1" applyFont="1" applyFill="1" applyBorder="1"/>
    <xf numFmtId="4" fontId="17" fillId="0" borderId="0" xfId="4" applyNumberFormat="1" applyFont="1" applyFill="1"/>
    <xf numFmtId="0" fontId="28" fillId="0" borderId="10" xfId="0" applyFont="1" applyFill="1" applyBorder="1" applyAlignment="1"/>
    <xf numFmtId="49" fontId="16" fillId="0" borderId="0" xfId="4" applyNumberFormat="1" applyFont="1" applyFill="1" applyBorder="1" applyAlignment="1">
      <alignment horizontal="center"/>
    </xf>
    <xf numFmtId="0" fontId="16" fillId="0" borderId="0" xfId="4" applyFont="1" applyFill="1" applyBorder="1" applyAlignment="1">
      <alignment horizontal="center"/>
    </xf>
    <xf numFmtId="0" fontId="28" fillId="0" borderId="0" xfId="0" applyFont="1" applyFill="1" applyBorder="1"/>
    <xf numFmtId="4" fontId="16" fillId="0" borderId="0" xfId="4" applyNumberFormat="1" applyFont="1" applyFill="1" applyBorder="1" applyAlignment="1">
      <alignment horizontal="right"/>
    </xf>
    <xf numFmtId="3" fontId="23" fillId="0" borderId="0" xfId="0" applyNumberFormat="1" applyFont="1" applyBorder="1" applyAlignment="1">
      <alignment horizontal="right"/>
    </xf>
    <xf numFmtId="0" fontId="7" fillId="0" borderId="19" xfId="0" applyFont="1" applyFill="1" applyBorder="1" applyAlignment="1">
      <alignment vertical="center"/>
    </xf>
    <xf numFmtId="3" fontId="7" fillId="7" borderId="19" xfId="0" applyNumberFormat="1" applyFont="1" applyFill="1" applyBorder="1" applyAlignment="1">
      <alignment horizontal="right"/>
    </xf>
    <xf numFmtId="3" fontId="7" fillId="3" borderId="19" xfId="0" applyNumberFormat="1" applyFont="1" applyFill="1" applyBorder="1" applyAlignment="1">
      <alignment horizontal="right"/>
    </xf>
    <xf numFmtId="4" fontId="7" fillId="12" borderId="19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4" fontId="19" fillId="0" borderId="0" xfId="0" applyNumberFormat="1" applyFont="1" applyFill="1" applyBorder="1" applyAlignment="1">
      <alignment horizontal="right"/>
    </xf>
    <xf numFmtId="4" fontId="39" fillId="0" borderId="0" xfId="52" applyNumberFormat="1" applyFont="1" applyAlignment="1">
      <alignment horizontal="center" vertical="center"/>
    </xf>
    <xf numFmtId="0" fontId="3" fillId="0" borderId="0" xfId="52" applyAlignment="1">
      <alignment vertical="center"/>
    </xf>
    <xf numFmtId="49" fontId="39" fillId="0" borderId="0" xfId="52" applyNumberFormat="1" applyFont="1" applyAlignment="1">
      <alignment horizontal="center" vertical="center"/>
    </xf>
    <xf numFmtId="0" fontId="1" fillId="0" borderId="0" xfId="67" applyAlignment="1">
      <alignment horizontal="center" vertical="center"/>
    </xf>
    <xf numFmtId="0" fontId="40" fillId="0" borderId="0" xfId="52" applyFont="1" applyAlignment="1">
      <alignment horizontal="center" vertical="center"/>
    </xf>
    <xf numFmtId="4" fontId="40" fillId="0" borderId="0" xfId="52" applyNumberFormat="1" applyFont="1" applyAlignment="1">
      <alignment horizontal="center" vertical="center"/>
    </xf>
    <xf numFmtId="4" fontId="3" fillId="0" borderId="0" xfId="52" applyNumberFormat="1" applyAlignment="1">
      <alignment horizontal="center" vertical="center"/>
    </xf>
    <xf numFmtId="4" fontId="43" fillId="0" borderId="0" xfId="52" applyNumberFormat="1" applyFont="1" applyAlignment="1">
      <alignment horizontal="right" vertical="center"/>
    </xf>
    <xf numFmtId="4" fontId="45" fillId="2" borderId="51" xfId="52" applyNumberFormat="1" applyFont="1" applyFill="1" applyBorder="1" applyAlignment="1">
      <alignment horizontal="center" vertical="center" wrapText="1"/>
    </xf>
    <xf numFmtId="4" fontId="45" fillId="2" borderId="52" xfId="52" applyNumberFormat="1" applyFont="1" applyFill="1" applyBorder="1" applyAlignment="1">
      <alignment horizontal="center" vertical="center" wrapText="1"/>
    </xf>
    <xf numFmtId="4" fontId="45" fillId="2" borderId="53" xfId="52" applyNumberFormat="1" applyFont="1" applyFill="1" applyBorder="1" applyAlignment="1">
      <alignment horizontal="center" vertical="center" wrapText="1"/>
    </xf>
    <xf numFmtId="4" fontId="45" fillId="2" borderId="38" xfId="52" applyNumberFormat="1" applyFont="1" applyFill="1" applyBorder="1" applyAlignment="1">
      <alignment horizontal="center" vertical="center" wrapText="1"/>
    </xf>
    <xf numFmtId="49" fontId="46" fillId="0" borderId="5" xfId="52" applyNumberFormat="1" applyFont="1" applyFill="1" applyBorder="1" applyAlignment="1">
      <alignment vertical="center"/>
    </xf>
    <xf numFmtId="4" fontId="46" fillId="7" borderId="54" xfId="2" applyNumberFormat="1" applyFont="1" applyFill="1" applyBorder="1" applyAlignment="1">
      <alignment vertical="center"/>
    </xf>
    <xf numFmtId="4" fontId="46" fillId="7" borderId="52" xfId="2" applyNumberFormat="1" applyFont="1" applyFill="1" applyBorder="1" applyAlignment="1">
      <alignment vertical="center"/>
    </xf>
    <xf numFmtId="3" fontId="46" fillId="3" borderId="52" xfId="2" applyNumberFormat="1" applyFont="1" applyFill="1" applyBorder="1" applyAlignment="1">
      <alignment vertical="center"/>
    </xf>
    <xf numFmtId="4" fontId="46" fillId="13" borderId="53" xfId="52" applyNumberFormat="1" applyFont="1" applyFill="1" applyBorder="1" applyAlignment="1">
      <alignment horizontal="right" vertical="center"/>
    </xf>
    <xf numFmtId="4" fontId="46" fillId="7" borderId="51" xfId="2" applyNumberFormat="1" applyFont="1" applyFill="1" applyBorder="1" applyAlignment="1">
      <alignment vertical="center"/>
    </xf>
    <xf numFmtId="4" fontId="46" fillId="13" borderId="38" xfId="52" applyNumberFormat="1" applyFont="1" applyFill="1" applyBorder="1" applyAlignment="1">
      <alignment horizontal="right" vertical="center"/>
    </xf>
    <xf numFmtId="49" fontId="45" fillId="0" borderId="17" xfId="52" applyNumberFormat="1" applyFont="1" applyFill="1" applyBorder="1" applyAlignment="1">
      <alignment vertical="center"/>
    </xf>
    <xf numFmtId="4" fontId="43" fillId="7" borderId="34" xfId="2" applyNumberFormat="1" applyFont="1" applyFill="1" applyBorder="1" applyAlignment="1">
      <alignment vertical="center"/>
    </xf>
    <xf numFmtId="4" fontId="43" fillId="7" borderId="55" xfId="2" applyNumberFormat="1" applyFont="1" applyFill="1" applyBorder="1" applyAlignment="1">
      <alignment vertical="center"/>
    </xf>
    <xf numFmtId="3" fontId="43" fillId="3" borderId="35" xfId="2" applyNumberFormat="1" applyFont="1" applyFill="1" applyBorder="1" applyAlignment="1">
      <alignment vertical="center"/>
    </xf>
    <xf numFmtId="4" fontId="43" fillId="13" borderId="56" xfId="52" applyNumberFormat="1" applyFont="1" applyFill="1" applyBorder="1" applyAlignment="1">
      <alignment horizontal="right" vertical="center"/>
    </xf>
    <xf numFmtId="4" fontId="43" fillId="7" borderId="35" xfId="2" applyNumberFormat="1" applyFont="1" applyFill="1" applyBorder="1" applyAlignment="1">
      <alignment vertical="center"/>
    </xf>
    <xf numFmtId="4" fontId="43" fillId="13" borderId="21" xfId="52" applyNumberFormat="1" applyFont="1" applyFill="1" applyBorder="1" applyAlignment="1">
      <alignment horizontal="right" vertical="center"/>
    </xf>
    <xf numFmtId="49" fontId="45" fillId="0" borderId="8" xfId="52" applyNumberFormat="1" applyFont="1" applyFill="1" applyBorder="1" applyAlignment="1">
      <alignment vertical="center"/>
    </xf>
    <xf numFmtId="4" fontId="43" fillId="7" borderId="28" xfId="2" applyNumberFormat="1" applyFont="1" applyFill="1" applyBorder="1" applyAlignment="1">
      <alignment vertical="center"/>
    </xf>
    <xf numFmtId="4" fontId="43" fillId="7" borderId="57" xfId="2" applyNumberFormat="1" applyFont="1" applyFill="1" applyBorder="1" applyAlignment="1">
      <alignment vertical="center"/>
    </xf>
    <xf numFmtId="3" fontId="43" fillId="3" borderId="11" xfId="2" applyNumberFormat="1" applyFont="1" applyFill="1" applyBorder="1" applyAlignment="1">
      <alignment vertical="center"/>
    </xf>
    <xf numFmtId="4" fontId="43" fillId="13" borderId="58" xfId="52" applyNumberFormat="1" applyFont="1" applyFill="1" applyBorder="1" applyAlignment="1">
      <alignment horizontal="right" vertical="center"/>
    </xf>
    <xf numFmtId="4" fontId="43" fillId="7" borderId="11" xfId="2" applyNumberFormat="1" applyFont="1" applyFill="1" applyBorder="1" applyAlignment="1">
      <alignment vertical="center"/>
    </xf>
    <xf numFmtId="4" fontId="43" fillId="13" borderId="22" xfId="52" applyNumberFormat="1" applyFont="1" applyFill="1" applyBorder="1" applyAlignment="1">
      <alignment horizontal="right" vertical="center"/>
    </xf>
    <xf numFmtId="49" fontId="45" fillId="0" borderId="9" xfId="52" applyNumberFormat="1" applyFont="1" applyFill="1" applyBorder="1" applyAlignment="1">
      <alignment vertical="center"/>
    </xf>
    <xf numFmtId="4" fontId="43" fillId="7" borderId="29" xfId="2" applyNumberFormat="1" applyFont="1" applyFill="1" applyBorder="1" applyAlignment="1">
      <alignment vertical="center"/>
    </xf>
    <xf numFmtId="4" fontId="43" fillId="7" borderId="59" xfId="2" applyNumberFormat="1" applyFont="1" applyFill="1" applyBorder="1" applyAlignment="1">
      <alignment vertical="center"/>
    </xf>
    <xf numFmtId="3" fontId="43" fillId="3" borderId="30" xfId="2" applyNumberFormat="1" applyFont="1" applyFill="1" applyBorder="1" applyAlignment="1">
      <alignment vertical="center"/>
    </xf>
    <xf numFmtId="4" fontId="43" fillId="13" borderId="60" xfId="52" applyNumberFormat="1" applyFont="1" applyFill="1" applyBorder="1" applyAlignment="1">
      <alignment horizontal="right" vertical="center"/>
    </xf>
    <xf numFmtId="4" fontId="43" fillId="7" borderId="30" xfId="2" applyNumberFormat="1" applyFont="1" applyFill="1" applyBorder="1" applyAlignment="1">
      <alignment vertical="center"/>
    </xf>
    <xf numFmtId="4" fontId="43" fillId="13" borderId="27" xfId="52" applyNumberFormat="1" applyFont="1" applyFill="1" applyBorder="1" applyAlignment="1">
      <alignment horizontal="right" vertical="center"/>
    </xf>
    <xf numFmtId="49" fontId="46" fillId="0" borderId="5" xfId="52" applyNumberFormat="1" applyFont="1" applyFill="1" applyBorder="1" applyAlignment="1">
      <alignment vertical="center" wrapText="1"/>
    </xf>
    <xf numFmtId="49" fontId="45" fillId="0" borderId="15" xfId="52" applyNumberFormat="1" applyFont="1" applyFill="1" applyBorder="1" applyAlignment="1">
      <alignment vertical="center"/>
    </xf>
    <xf numFmtId="4" fontId="43" fillId="7" borderId="23" xfId="2" applyNumberFormat="1" applyFont="1" applyFill="1" applyBorder="1" applyAlignment="1">
      <alignment vertical="center"/>
    </xf>
    <xf numFmtId="4" fontId="43" fillId="7" borderId="24" xfId="2" applyNumberFormat="1" applyFont="1" applyFill="1" applyBorder="1" applyAlignment="1">
      <alignment vertical="center"/>
    </xf>
    <xf numFmtId="3" fontId="43" fillId="3" borderId="24" xfId="2" applyNumberFormat="1" applyFont="1" applyFill="1" applyBorder="1" applyAlignment="1">
      <alignment vertical="center"/>
    </xf>
    <xf numFmtId="4" fontId="43" fillId="13" borderId="61" xfId="52" applyNumberFormat="1" applyFont="1" applyFill="1" applyBorder="1" applyAlignment="1">
      <alignment horizontal="right" vertical="center"/>
    </xf>
    <xf numFmtId="4" fontId="43" fillId="13" borderId="25" xfId="52" applyNumberFormat="1" applyFont="1" applyFill="1" applyBorder="1" applyAlignment="1">
      <alignment horizontal="right" vertical="center"/>
    </xf>
    <xf numFmtId="49" fontId="47" fillId="0" borderId="5" xfId="52" applyNumberFormat="1" applyFont="1" applyFill="1" applyBorder="1" applyAlignment="1">
      <alignment horizontal="justify" vertical="center"/>
    </xf>
    <xf numFmtId="4" fontId="47" fillId="7" borderId="51" xfId="2" applyNumberFormat="1" applyFont="1" applyFill="1" applyBorder="1" applyAlignment="1">
      <alignment vertical="center"/>
    </xf>
    <xf numFmtId="4" fontId="47" fillId="7" borderId="52" xfId="2" applyNumberFormat="1" applyFont="1" applyFill="1" applyBorder="1" applyAlignment="1">
      <alignment vertical="center"/>
    </xf>
    <xf numFmtId="3" fontId="47" fillId="3" borderId="52" xfId="2" applyNumberFormat="1" applyFont="1" applyFill="1" applyBorder="1" applyAlignment="1">
      <alignment vertical="center"/>
    </xf>
    <xf numFmtId="4" fontId="47" fillId="13" borderId="53" xfId="52" applyNumberFormat="1" applyFont="1" applyFill="1" applyBorder="1" applyAlignment="1">
      <alignment horizontal="right" vertical="center"/>
    </xf>
    <xf numFmtId="4" fontId="47" fillId="13" borderId="38" xfId="52" applyNumberFormat="1" applyFont="1" applyFill="1" applyBorder="1" applyAlignment="1">
      <alignment horizontal="right" vertical="center"/>
    </xf>
    <xf numFmtId="49" fontId="45" fillId="0" borderId="17" xfId="52" applyNumberFormat="1" applyFont="1" applyFill="1" applyBorder="1" applyAlignment="1">
      <alignment horizontal="left" vertical="center"/>
    </xf>
    <xf numFmtId="4" fontId="43" fillId="7" borderId="62" xfId="2" applyNumberFormat="1" applyFont="1" applyFill="1" applyBorder="1" applyAlignment="1">
      <alignment vertical="center"/>
    </xf>
    <xf numFmtId="4" fontId="43" fillId="7" borderId="63" xfId="52" applyNumberFormat="1" applyFont="1" applyFill="1" applyBorder="1" applyAlignment="1">
      <alignment vertical="center"/>
    </xf>
    <xf numFmtId="3" fontId="43" fillId="3" borderId="63" xfId="2" applyNumberFormat="1" applyFont="1" applyFill="1" applyBorder="1" applyAlignment="1">
      <alignment vertical="center"/>
    </xf>
    <xf numFmtId="4" fontId="43" fillId="13" borderId="64" xfId="52" applyNumberFormat="1" applyFont="1" applyFill="1" applyBorder="1" applyAlignment="1">
      <alignment horizontal="right" vertical="center"/>
    </xf>
    <xf numFmtId="4" fontId="43" fillId="7" borderId="63" xfId="2" applyNumberFormat="1" applyFont="1" applyFill="1" applyBorder="1" applyAlignment="1">
      <alignment vertical="center"/>
    </xf>
    <xf numFmtId="4" fontId="43" fillId="13" borderId="65" xfId="52" applyNumberFormat="1" applyFont="1" applyFill="1" applyBorder="1" applyAlignment="1">
      <alignment horizontal="right" vertical="center"/>
    </xf>
    <xf numFmtId="4" fontId="43" fillId="7" borderId="11" xfId="52" applyNumberFormat="1" applyFont="1" applyFill="1" applyBorder="1" applyAlignment="1">
      <alignment vertical="center"/>
    </xf>
    <xf numFmtId="49" fontId="45" fillId="0" borderId="9" xfId="52" applyNumberFormat="1" applyFont="1" applyFill="1" applyBorder="1" applyAlignment="1">
      <alignment horizontal="left" vertical="center"/>
    </xf>
    <xf numFmtId="49" fontId="45" fillId="0" borderId="12" xfId="52" applyNumberFormat="1" applyFont="1" applyFill="1" applyBorder="1" applyAlignment="1">
      <alignment vertical="center"/>
    </xf>
    <xf numFmtId="4" fontId="49" fillId="7" borderId="24" xfId="52" applyNumberFormat="1" applyFont="1" applyFill="1" applyBorder="1" applyAlignment="1">
      <alignment vertical="center"/>
    </xf>
    <xf numFmtId="3" fontId="49" fillId="3" borderId="24" xfId="2" applyNumberFormat="1" applyFont="1" applyFill="1" applyBorder="1" applyAlignment="1">
      <alignment vertical="center"/>
    </xf>
    <xf numFmtId="4" fontId="49" fillId="7" borderId="24" xfId="2" applyNumberFormat="1" applyFont="1" applyFill="1" applyBorder="1" applyAlignment="1">
      <alignment vertical="center"/>
    </xf>
    <xf numFmtId="49" fontId="47" fillId="0" borderId="5" xfId="52" applyNumberFormat="1" applyFont="1" applyFill="1" applyBorder="1" applyAlignment="1">
      <alignment vertical="center"/>
    </xf>
    <xf numFmtId="4" fontId="50" fillId="7" borderId="51" xfId="2" applyNumberFormat="1" applyFont="1" applyFill="1" applyBorder="1" applyAlignment="1">
      <alignment vertical="center"/>
    </xf>
    <xf numFmtId="4" fontId="50" fillId="7" borderId="52" xfId="52" applyNumberFormat="1" applyFont="1" applyFill="1" applyBorder="1" applyAlignment="1">
      <alignment vertical="center"/>
    </xf>
    <xf numFmtId="3" fontId="50" fillId="3" borderId="52" xfId="52" applyNumberFormat="1" applyFont="1" applyFill="1" applyBorder="1" applyAlignment="1">
      <alignment vertical="center"/>
    </xf>
    <xf numFmtId="4" fontId="24" fillId="13" borderId="53" xfId="52" applyNumberFormat="1" applyFont="1" applyFill="1" applyBorder="1" applyAlignment="1">
      <alignment horizontal="right" vertical="center"/>
    </xf>
    <xf numFmtId="4" fontId="50" fillId="7" borderId="51" xfId="52" applyNumberFormat="1" applyFont="1" applyFill="1" applyBorder="1" applyAlignment="1">
      <alignment vertical="center"/>
    </xf>
    <xf numFmtId="4" fontId="50" fillId="13" borderId="38" xfId="52" applyNumberFormat="1" applyFont="1" applyFill="1" applyBorder="1" applyAlignment="1">
      <alignment horizontal="right" vertical="center"/>
    </xf>
    <xf numFmtId="3" fontId="50" fillId="3" borderId="52" xfId="2" applyNumberFormat="1" applyFont="1" applyFill="1" applyBorder="1" applyAlignment="1">
      <alignment vertical="center"/>
    </xf>
    <xf numFmtId="4" fontId="50" fillId="7" borderId="52" xfId="2" applyNumberFormat="1" applyFont="1" applyFill="1" applyBorder="1" applyAlignment="1">
      <alignment vertical="center"/>
    </xf>
    <xf numFmtId="49" fontId="45" fillId="0" borderId="8" xfId="52" applyNumberFormat="1" applyFont="1" applyFill="1" applyBorder="1" applyAlignment="1">
      <alignment vertical="center" wrapText="1"/>
    </xf>
    <xf numFmtId="49" fontId="51" fillId="0" borderId="8" xfId="52" applyNumberFormat="1" applyFont="1" applyFill="1" applyBorder="1" applyAlignment="1">
      <alignment vertical="center"/>
    </xf>
    <xf numFmtId="49" fontId="51" fillId="0" borderId="9" xfId="52" applyNumberFormat="1" applyFont="1" applyFill="1" applyBorder="1" applyAlignment="1">
      <alignment vertical="center"/>
    </xf>
    <xf numFmtId="49" fontId="51" fillId="0" borderId="15" xfId="52" applyNumberFormat="1" applyFont="1" applyFill="1" applyBorder="1" applyAlignment="1">
      <alignment vertical="center"/>
    </xf>
    <xf numFmtId="4" fontId="43" fillId="7" borderId="66" xfId="2" applyNumberFormat="1" applyFont="1" applyFill="1" applyBorder="1" applyAlignment="1">
      <alignment vertical="center"/>
    </xf>
    <xf numFmtId="4" fontId="51" fillId="7" borderId="51" xfId="2" applyNumberFormat="1" applyFont="1" applyFill="1" applyBorder="1" applyAlignment="1">
      <alignment vertical="center"/>
    </xf>
    <xf numFmtId="4" fontId="51" fillId="7" borderId="54" xfId="2" applyNumberFormat="1" applyFont="1" applyFill="1" applyBorder="1" applyAlignment="1">
      <alignment vertical="center"/>
    </xf>
    <xf numFmtId="3" fontId="51" fillId="3" borderId="52" xfId="2" applyNumberFormat="1" applyFont="1" applyFill="1" applyBorder="1" applyAlignment="1">
      <alignment vertical="center"/>
    </xf>
    <xf numFmtId="4" fontId="51" fillId="13" borderId="53" xfId="52" applyNumberFormat="1" applyFont="1" applyFill="1" applyBorder="1" applyAlignment="1">
      <alignment horizontal="right" vertical="center"/>
    </xf>
    <xf numFmtId="4" fontId="51" fillId="7" borderId="52" xfId="2" applyNumberFormat="1" applyFont="1" applyFill="1" applyBorder="1" applyAlignment="1">
      <alignment vertical="center"/>
    </xf>
    <xf numFmtId="4" fontId="51" fillId="13" borderId="38" xfId="52" applyNumberFormat="1" applyFont="1" applyFill="1" applyBorder="1" applyAlignment="1">
      <alignment horizontal="right" vertical="center"/>
    </xf>
    <xf numFmtId="0" fontId="23" fillId="0" borderId="0" xfId="52" applyFont="1" applyAlignment="1">
      <alignment vertical="center"/>
    </xf>
    <xf numFmtId="4" fontId="43" fillId="7" borderId="51" xfId="2" applyNumberFormat="1" applyFont="1" applyFill="1" applyBorder="1" applyAlignment="1">
      <alignment vertical="center"/>
    </xf>
    <xf numFmtId="4" fontId="43" fillId="7" borderId="54" xfId="2" applyNumberFormat="1" applyFont="1" applyFill="1" applyBorder="1" applyAlignment="1">
      <alignment vertical="center"/>
    </xf>
    <xf numFmtId="3" fontId="43" fillId="3" borderId="52" xfId="2" applyNumberFormat="1" applyFont="1" applyFill="1" applyBorder="1" applyAlignment="1">
      <alignment vertical="center"/>
    </xf>
    <xf numFmtId="4" fontId="43" fillId="13" borderId="53" xfId="52" applyNumberFormat="1" applyFont="1" applyFill="1" applyBorder="1" applyAlignment="1">
      <alignment horizontal="right" vertical="center"/>
    </xf>
    <xf numFmtId="4" fontId="43" fillId="7" borderId="52" xfId="2" applyNumberFormat="1" applyFont="1" applyFill="1" applyBorder="1" applyAlignment="1">
      <alignment vertical="center"/>
    </xf>
    <xf numFmtId="4" fontId="43" fillId="13" borderId="38" xfId="52" applyNumberFormat="1" applyFont="1" applyFill="1" applyBorder="1" applyAlignment="1">
      <alignment horizontal="right" vertical="center"/>
    </xf>
    <xf numFmtId="49" fontId="46" fillId="0" borderId="5" xfId="52" applyNumberFormat="1" applyFont="1" applyFill="1" applyBorder="1" applyAlignment="1">
      <alignment horizontal="justify" vertical="center"/>
    </xf>
    <xf numFmtId="4" fontId="46" fillId="7" borderId="67" xfId="2" applyNumberFormat="1" applyFont="1" applyFill="1" applyBorder="1" applyAlignment="1">
      <alignment vertical="center"/>
    </xf>
    <xf numFmtId="4" fontId="46" fillId="7" borderId="68" xfId="2" applyNumberFormat="1" applyFont="1" applyFill="1" applyBorder="1" applyAlignment="1">
      <alignment vertical="center"/>
    </xf>
    <xf numFmtId="3" fontId="46" fillId="3" borderId="68" xfId="2" applyNumberFormat="1" applyFont="1" applyFill="1" applyBorder="1" applyAlignment="1">
      <alignment vertical="center"/>
    </xf>
    <xf numFmtId="49" fontId="52" fillId="0" borderId="36" xfId="52" applyNumberFormat="1" applyFont="1" applyFill="1" applyBorder="1" applyAlignment="1">
      <alignment horizontal="justify" vertical="center"/>
    </xf>
    <xf numFmtId="4" fontId="52" fillId="7" borderId="35" xfId="2" applyNumberFormat="1" applyFont="1" applyFill="1" applyBorder="1" applyAlignment="1">
      <alignment vertical="center"/>
    </xf>
    <xf numFmtId="3" fontId="52" fillId="3" borderId="35" xfId="2" applyNumberFormat="1" applyFont="1" applyFill="1" applyBorder="1" applyAlignment="1">
      <alignment vertical="center"/>
    </xf>
    <xf numFmtId="4" fontId="43" fillId="7" borderId="69" xfId="2" applyNumberFormat="1" applyFont="1" applyFill="1" applyBorder="1" applyAlignment="1">
      <alignment vertical="center"/>
    </xf>
    <xf numFmtId="4" fontId="52" fillId="7" borderId="63" xfId="2" applyNumberFormat="1" applyFont="1" applyFill="1" applyBorder="1" applyAlignment="1">
      <alignment vertical="center"/>
    </xf>
    <xf numFmtId="3" fontId="52" fillId="3" borderId="63" xfId="2" applyNumberFormat="1" applyFont="1" applyFill="1" applyBorder="1" applyAlignment="1">
      <alignment vertical="center"/>
    </xf>
    <xf numFmtId="4" fontId="46" fillId="13" borderId="65" xfId="52" applyNumberFormat="1" applyFont="1" applyFill="1" applyBorder="1" applyAlignment="1">
      <alignment horizontal="right" vertical="center"/>
    </xf>
    <xf numFmtId="49" fontId="52" fillId="0" borderId="32" xfId="52" applyNumberFormat="1" applyFont="1" applyFill="1" applyBorder="1" applyAlignment="1">
      <alignment horizontal="justify" vertical="center"/>
    </xf>
    <xf numFmtId="4" fontId="52" fillId="7" borderId="30" xfId="2" applyNumberFormat="1" applyFont="1" applyFill="1" applyBorder="1" applyAlignment="1">
      <alignment vertical="center"/>
    </xf>
    <xf numFmtId="3" fontId="52" fillId="3" borderId="30" xfId="2" applyNumberFormat="1" applyFont="1" applyFill="1" applyBorder="1" applyAlignment="1">
      <alignment vertical="center"/>
    </xf>
    <xf numFmtId="4" fontId="52" fillId="13" borderId="27" xfId="52" applyNumberFormat="1" applyFont="1" applyFill="1" applyBorder="1" applyAlignment="1">
      <alignment horizontal="right" vertical="center"/>
    </xf>
    <xf numFmtId="4" fontId="52" fillId="7" borderId="24" xfId="2" applyNumberFormat="1" applyFont="1" applyFill="1" applyBorder="1" applyAlignment="1">
      <alignment vertical="center"/>
    </xf>
    <xf numFmtId="3" fontId="52" fillId="3" borderId="24" xfId="2" applyNumberFormat="1" applyFont="1" applyFill="1" applyBorder="1" applyAlignment="1">
      <alignment vertical="center"/>
    </xf>
    <xf numFmtId="4" fontId="46" fillId="13" borderId="25" xfId="52" applyNumberFormat="1" applyFont="1" applyFill="1" applyBorder="1" applyAlignment="1">
      <alignment horizontal="right" vertical="center"/>
    </xf>
    <xf numFmtId="4" fontId="46" fillId="7" borderId="70" xfId="52" applyNumberFormat="1" applyFont="1" applyFill="1" applyBorder="1" applyAlignment="1">
      <alignment vertical="center"/>
    </xf>
    <xf numFmtId="4" fontId="46" fillId="7" borderId="71" xfId="52" applyNumberFormat="1" applyFont="1" applyFill="1" applyBorder="1" applyAlignment="1">
      <alignment vertical="center"/>
    </xf>
    <xf numFmtId="3" fontId="46" fillId="3" borderId="71" xfId="52" applyNumberFormat="1" applyFont="1" applyFill="1" applyBorder="1" applyAlignment="1">
      <alignment vertical="center"/>
    </xf>
    <xf numFmtId="4" fontId="46" fillId="13" borderId="72" xfId="52" applyNumberFormat="1" applyFont="1" applyFill="1" applyBorder="1" applyAlignment="1">
      <alignment horizontal="right" vertical="center"/>
    </xf>
    <xf numFmtId="4" fontId="46" fillId="7" borderId="51" xfId="52" applyNumberFormat="1" applyFont="1" applyFill="1" applyBorder="1" applyAlignment="1">
      <alignment vertical="center"/>
    </xf>
    <xf numFmtId="4" fontId="46" fillId="7" borderId="52" xfId="52" applyNumberFormat="1" applyFont="1" applyFill="1" applyBorder="1" applyAlignment="1">
      <alignment vertical="center"/>
    </xf>
    <xf numFmtId="3" fontId="46" fillId="3" borderId="52" xfId="52" applyNumberFormat="1" applyFont="1" applyFill="1" applyBorder="1" applyAlignment="1">
      <alignment vertical="center"/>
    </xf>
    <xf numFmtId="49" fontId="46" fillId="0" borderId="8" xfId="52" applyNumberFormat="1" applyFont="1" applyFill="1" applyBorder="1" applyAlignment="1">
      <alignment vertical="center"/>
    </xf>
    <xf numFmtId="4" fontId="52" fillId="7" borderId="63" xfId="52" applyNumberFormat="1" applyFont="1" applyFill="1" applyBorder="1" applyAlignment="1">
      <alignment vertical="center"/>
    </xf>
    <xf numFmtId="3" fontId="52" fillId="3" borderId="63" xfId="52" applyNumberFormat="1" applyFont="1" applyFill="1" applyBorder="1" applyAlignment="1">
      <alignment vertical="center"/>
    </xf>
    <xf numFmtId="49" fontId="46" fillId="0" borderId="6" xfId="52" applyNumberFormat="1" applyFont="1" applyFill="1" applyBorder="1" applyAlignment="1">
      <alignment vertical="center"/>
    </xf>
    <xf numFmtId="4" fontId="52" fillId="13" borderId="61" xfId="52" applyNumberFormat="1" applyFont="1" applyFill="1" applyBorder="1" applyAlignment="1">
      <alignment horizontal="right" vertical="center"/>
    </xf>
    <xf numFmtId="49" fontId="53" fillId="0" borderId="5" xfId="52" applyNumberFormat="1" applyFont="1" applyFill="1" applyBorder="1" applyAlignment="1">
      <alignment vertical="center"/>
    </xf>
    <xf numFmtId="49" fontId="53" fillId="0" borderId="0" xfId="52" applyNumberFormat="1" applyFont="1" applyFill="1" applyBorder="1" applyAlignment="1">
      <alignment vertical="center"/>
    </xf>
    <xf numFmtId="4" fontId="46" fillId="0" borderId="0" xfId="52" applyNumberFormat="1" applyFont="1" applyFill="1" applyBorder="1" applyAlignment="1">
      <alignment vertical="center"/>
    </xf>
    <xf numFmtId="4" fontId="46" fillId="0" borderId="0" xfId="52" applyNumberFormat="1" applyFont="1" applyFill="1" applyBorder="1" applyAlignment="1">
      <alignment horizontal="right" vertical="center"/>
    </xf>
    <xf numFmtId="4" fontId="53" fillId="0" borderId="0" xfId="52" applyNumberFormat="1" applyFont="1" applyFill="1" applyBorder="1" applyAlignment="1">
      <alignment vertical="center"/>
    </xf>
    <xf numFmtId="49" fontId="46" fillId="0" borderId="2" xfId="52" applyNumberFormat="1" applyFont="1" applyFill="1" applyBorder="1" applyAlignment="1">
      <alignment vertical="center"/>
    </xf>
    <xf numFmtId="49" fontId="45" fillId="0" borderId="47" xfId="52" applyNumberFormat="1" applyFont="1" applyFill="1" applyBorder="1" applyAlignment="1">
      <alignment vertical="center"/>
    </xf>
    <xf numFmtId="49" fontId="45" fillId="0" borderId="48" xfId="52" applyNumberFormat="1" applyFont="1" applyFill="1" applyBorder="1" applyAlignment="1">
      <alignment vertical="center"/>
    </xf>
    <xf numFmtId="4" fontId="43" fillId="13" borderId="22" xfId="52" applyNumberFormat="1" applyFont="1" applyFill="1" applyBorder="1" applyAlignment="1">
      <alignment vertical="center"/>
    </xf>
    <xf numFmtId="49" fontId="45" fillId="0" borderId="14" xfId="52" applyNumberFormat="1" applyFont="1" applyFill="1" applyBorder="1" applyAlignment="1">
      <alignment vertical="center"/>
    </xf>
    <xf numFmtId="4" fontId="43" fillId="13" borderId="25" xfId="52" applyNumberFormat="1" applyFont="1" applyFill="1" applyBorder="1" applyAlignment="1">
      <alignment vertical="center"/>
    </xf>
    <xf numFmtId="49" fontId="46" fillId="0" borderId="2" xfId="52" applyNumberFormat="1" applyFont="1" applyFill="1" applyBorder="1" applyAlignment="1">
      <alignment vertical="center" wrapText="1"/>
    </xf>
    <xf numFmtId="49" fontId="45" fillId="0" borderId="42" xfId="52" applyNumberFormat="1" applyFont="1" applyFill="1" applyBorder="1" applyAlignment="1">
      <alignment vertical="center"/>
    </xf>
    <xf numFmtId="49" fontId="45" fillId="0" borderId="61" xfId="52" applyNumberFormat="1" applyFont="1" applyFill="1" applyBorder="1" applyAlignment="1">
      <alignment vertical="center"/>
    </xf>
    <xf numFmtId="49" fontId="46" fillId="0" borderId="2" xfId="52" applyNumberFormat="1" applyFont="1" applyFill="1" applyBorder="1" applyAlignment="1">
      <alignment horizontal="justify" vertical="center"/>
    </xf>
    <xf numFmtId="49" fontId="45" fillId="0" borderId="46" xfId="52" applyNumberFormat="1" applyFont="1" applyFill="1" applyBorder="1" applyAlignment="1">
      <alignment horizontal="left" vertical="center"/>
    </xf>
    <xf numFmtId="49" fontId="45" fillId="0" borderId="48" xfId="52" applyNumberFormat="1" applyFont="1" applyFill="1" applyBorder="1" applyAlignment="1">
      <alignment horizontal="left" vertical="center"/>
    </xf>
    <xf numFmtId="49" fontId="45" fillId="0" borderId="44" xfId="52" applyNumberFormat="1" applyFont="1" applyFill="1" applyBorder="1" applyAlignment="1">
      <alignment vertical="center"/>
    </xf>
    <xf numFmtId="4" fontId="24" fillId="13" borderId="38" xfId="52" applyNumberFormat="1" applyFont="1" applyFill="1" applyBorder="1" applyAlignment="1">
      <alignment horizontal="right" vertical="center"/>
    </xf>
    <xf numFmtId="0" fontId="3" fillId="0" borderId="0" xfId="52" applyFont="1" applyAlignment="1">
      <alignment vertical="center"/>
    </xf>
    <xf numFmtId="49" fontId="45" fillId="0" borderId="47" xfId="52" applyNumberFormat="1" applyFont="1" applyFill="1" applyBorder="1" applyAlignment="1">
      <alignment vertical="center" wrapText="1"/>
    </xf>
    <xf numFmtId="49" fontId="51" fillId="0" borderId="47" xfId="52" applyNumberFormat="1" applyFont="1" applyFill="1" applyBorder="1" applyAlignment="1">
      <alignment vertical="center"/>
    </xf>
    <xf numFmtId="49" fontId="51" fillId="0" borderId="48" xfId="52" applyNumberFormat="1" applyFont="1" applyFill="1" applyBorder="1" applyAlignment="1">
      <alignment vertical="center"/>
    </xf>
    <xf numFmtId="49" fontId="51" fillId="0" borderId="42" xfId="52" applyNumberFormat="1" applyFont="1" applyFill="1" applyBorder="1" applyAlignment="1">
      <alignment vertical="center"/>
    </xf>
    <xf numFmtId="49" fontId="47" fillId="0" borderId="2" xfId="52" applyNumberFormat="1" applyFont="1" applyFill="1" applyBorder="1" applyAlignment="1">
      <alignment vertical="center"/>
    </xf>
    <xf numFmtId="49" fontId="24" fillId="0" borderId="36" xfId="52" applyNumberFormat="1" applyFont="1" applyFill="1" applyBorder="1" applyAlignment="1">
      <alignment horizontal="justify" vertical="center"/>
    </xf>
    <xf numFmtId="49" fontId="24" fillId="0" borderId="32" xfId="52" applyNumberFormat="1" applyFont="1" applyFill="1" applyBorder="1" applyAlignment="1">
      <alignment horizontal="justify" vertical="center"/>
    </xf>
    <xf numFmtId="49" fontId="46" fillId="0" borderId="47" xfId="52" applyNumberFormat="1" applyFont="1" applyFill="1" applyBorder="1" applyAlignment="1">
      <alignment vertical="center"/>
    </xf>
    <xf numFmtId="49" fontId="46" fillId="0" borderId="14" xfId="52" applyNumberFormat="1" applyFont="1" applyFill="1" applyBorder="1" applyAlignment="1">
      <alignment vertical="center"/>
    </xf>
    <xf numFmtId="49" fontId="53" fillId="0" borderId="2" xfId="52" applyNumberFormat="1" applyFont="1" applyFill="1" applyBorder="1" applyAlignment="1">
      <alignment vertical="center"/>
    </xf>
    <xf numFmtId="4" fontId="50" fillId="0" borderId="0" xfId="52" applyNumberFormat="1" applyFont="1" applyFill="1" applyBorder="1" applyAlignment="1">
      <alignment vertical="center"/>
    </xf>
    <xf numFmtId="4" fontId="50" fillId="0" borderId="0" xfId="52" applyNumberFormat="1" applyFont="1" applyFill="1" applyBorder="1" applyAlignment="1">
      <alignment horizontal="right" vertical="center"/>
    </xf>
    <xf numFmtId="49" fontId="41" fillId="0" borderId="0" xfId="52" applyNumberFormat="1" applyFont="1" applyAlignment="1">
      <alignment vertical="center"/>
    </xf>
    <xf numFmtId="4" fontId="41" fillId="0" borderId="0" xfId="52" applyNumberFormat="1" applyFont="1" applyFill="1" applyAlignment="1">
      <alignment vertical="center"/>
    </xf>
    <xf numFmtId="4" fontId="41" fillId="0" borderId="0" xfId="52" applyNumberFormat="1" applyFont="1" applyAlignment="1">
      <alignment vertical="center"/>
    </xf>
    <xf numFmtId="0" fontId="45" fillId="0" borderId="0" xfId="52" applyFont="1" applyFill="1" applyAlignment="1">
      <alignment horizontal="center" vertical="center"/>
    </xf>
    <xf numFmtId="4" fontId="45" fillId="0" borderId="0" xfId="52" applyNumberFormat="1" applyFont="1" applyFill="1" applyAlignment="1">
      <alignment horizontal="center" vertical="center"/>
    </xf>
    <xf numFmtId="4" fontId="49" fillId="0" borderId="0" xfId="52" applyNumberFormat="1" applyFont="1" applyFill="1" applyAlignment="1">
      <alignment horizontal="center" vertical="center"/>
    </xf>
    <xf numFmtId="4" fontId="3" fillId="0" borderId="0" xfId="52" applyNumberFormat="1" applyAlignment="1">
      <alignment vertical="center"/>
    </xf>
    <xf numFmtId="4" fontId="43" fillId="13" borderId="38" xfId="52" applyNumberFormat="1" applyFont="1" applyFill="1" applyBorder="1" applyAlignment="1">
      <alignment vertical="center"/>
    </xf>
    <xf numFmtId="4" fontId="43" fillId="13" borderId="65" xfId="52" applyNumberFormat="1" applyFont="1" applyFill="1" applyBorder="1" applyAlignment="1">
      <alignment vertical="center"/>
    </xf>
    <xf numFmtId="4" fontId="24" fillId="13" borderId="38" xfId="52" applyNumberFormat="1" applyFont="1" applyFill="1" applyBorder="1" applyAlignment="1">
      <alignment vertical="center"/>
    </xf>
    <xf numFmtId="49" fontId="45" fillId="0" borderId="46" xfId="52" applyNumberFormat="1" applyFont="1" applyFill="1" applyBorder="1" applyAlignment="1">
      <alignment vertical="center" wrapText="1"/>
    </xf>
    <xf numFmtId="4" fontId="52" fillId="13" borderId="22" xfId="52" applyNumberFormat="1" applyFont="1" applyFill="1" applyBorder="1" applyAlignment="1">
      <alignment horizontal="right" vertical="center"/>
    </xf>
    <xf numFmtId="49" fontId="51" fillId="0" borderId="44" xfId="52" applyNumberFormat="1" applyFont="1" applyFill="1" applyBorder="1" applyAlignment="1">
      <alignment vertical="center"/>
    </xf>
    <xf numFmtId="4" fontId="52" fillId="13" borderId="25" xfId="52" applyNumberFormat="1" applyFont="1" applyFill="1" applyBorder="1" applyAlignment="1">
      <alignment horizontal="right" vertical="center"/>
    </xf>
    <xf numFmtId="4" fontId="52" fillId="13" borderId="38" xfId="52" applyNumberFormat="1" applyFont="1" applyFill="1" applyBorder="1" applyAlignment="1">
      <alignment horizontal="right" vertical="center"/>
    </xf>
    <xf numFmtId="4" fontId="43" fillId="7" borderId="62" xfId="52" applyNumberFormat="1" applyFont="1" applyFill="1" applyBorder="1" applyAlignment="1">
      <alignment horizontal="right" vertical="center"/>
    </xf>
    <xf numFmtId="4" fontId="43" fillId="7" borderId="23" xfId="52" applyNumberFormat="1" applyFont="1" applyFill="1" applyBorder="1" applyAlignment="1">
      <alignment horizontal="right" vertical="center"/>
    </xf>
    <xf numFmtId="49" fontId="53" fillId="11" borderId="0" xfId="52" applyNumberFormat="1" applyFont="1" applyFill="1" applyBorder="1" applyAlignment="1">
      <alignment vertical="center"/>
    </xf>
    <xf numFmtId="4" fontId="53" fillId="11" borderId="0" xfId="52" applyNumberFormat="1" applyFont="1" applyFill="1" applyBorder="1" applyAlignment="1">
      <alignment vertical="center"/>
    </xf>
    <xf numFmtId="4" fontId="43" fillId="11" borderId="0" xfId="52" applyNumberFormat="1" applyFont="1" applyFill="1" applyBorder="1" applyAlignment="1">
      <alignment vertical="center"/>
    </xf>
    <xf numFmtId="4" fontId="51" fillId="11" borderId="0" xfId="52" applyNumberFormat="1" applyFont="1" applyFill="1" applyBorder="1" applyAlignment="1">
      <alignment horizontal="right" vertical="center"/>
    </xf>
    <xf numFmtId="4" fontId="43" fillId="14" borderId="0" xfId="52" applyNumberFormat="1" applyFont="1" applyFill="1" applyBorder="1" applyAlignment="1">
      <alignment horizontal="right" vertical="center"/>
    </xf>
    <xf numFmtId="49" fontId="45" fillId="0" borderId="47" xfId="52" applyNumberFormat="1" applyFont="1" applyFill="1" applyBorder="1" applyAlignment="1">
      <alignment horizontal="left" vertical="center"/>
    </xf>
    <xf numFmtId="4" fontId="52" fillId="13" borderId="65" xfId="52" applyNumberFormat="1" applyFont="1" applyFill="1" applyBorder="1" applyAlignment="1">
      <alignment horizontal="right" vertical="center"/>
    </xf>
    <xf numFmtId="49" fontId="3" fillId="0" borderId="0" xfId="52" applyNumberFormat="1" applyAlignment="1">
      <alignment vertical="center"/>
    </xf>
    <xf numFmtId="49" fontId="47" fillId="0" borderId="2" xfId="52" applyNumberFormat="1" applyFont="1" applyFill="1" applyBorder="1" applyAlignment="1">
      <alignment horizontal="justify" vertical="center"/>
    </xf>
    <xf numFmtId="0" fontId="3" fillId="0" borderId="0" xfId="52" applyFill="1" applyAlignment="1">
      <alignment vertical="center"/>
    </xf>
    <xf numFmtId="4" fontId="51" fillId="13" borderId="22" xfId="52" applyNumberFormat="1" applyFont="1" applyFill="1" applyBorder="1" applyAlignment="1">
      <alignment horizontal="right" vertical="center"/>
    </xf>
    <xf numFmtId="4" fontId="51" fillId="13" borderId="25" xfId="52" applyNumberFormat="1" applyFont="1" applyFill="1" applyBorder="1" applyAlignment="1">
      <alignment horizontal="right" vertical="center"/>
    </xf>
    <xf numFmtId="4" fontId="51" fillId="13" borderId="65" xfId="52" applyNumberFormat="1" applyFont="1" applyFill="1" applyBorder="1" applyAlignment="1">
      <alignment horizontal="right" vertical="center"/>
    </xf>
    <xf numFmtId="4" fontId="24" fillId="7" borderId="24" xfId="2" applyNumberFormat="1" applyFont="1" applyFill="1" applyBorder="1" applyAlignment="1">
      <alignment vertical="center"/>
    </xf>
    <xf numFmtId="3" fontId="24" fillId="3" borderId="24" xfId="2" applyNumberFormat="1" applyFont="1" applyFill="1" applyBorder="1" applyAlignment="1">
      <alignment vertical="center"/>
    </xf>
    <xf numFmtId="4" fontId="43" fillId="7" borderId="63" xfId="52" applyNumberFormat="1" applyFont="1" applyFill="1" applyBorder="1" applyAlignment="1">
      <alignment horizontal="right" vertical="center"/>
    </xf>
    <xf numFmtId="3" fontId="43" fillId="3" borderId="63" xfId="52" applyNumberFormat="1" applyFont="1" applyFill="1" applyBorder="1" applyAlignment="1">
      <alignment horizontal="right" vertical="center"/>
    </xf>
    <xf numFmtId="4" fontId="43" fillId="7" borderId="11" xfId="52" applyNumberFormat="1" applyFont="1" applyFill="1" applyBorder="1" applyAlignment="1">
      <alignment horizontal="right" vertical="center"/>
    </xf>
    <xf numFmtId="3" fontId="43" fillId="3" borderId="11" xfId="52" applyNumberFormat="1" applyFont="1" applyFill="1" applyBorder="1" applyAlignment="1">
      <alignment horizontal="right" vertical="center"/>
    </xf>
    <xf numFmtId="4" fontId="43" fillId="7" borderId="24" xfId="52" applyNumberFormat="1" applyFont="1" applyFill="1" applyBorder="1" applyAlignment="1">
      <alignment horizontal="right" vertical="center"/>
    </xf>
    <xf numFmtId="3" fontId="43" fillId="3" borderId="24" xfId="52" applyNumberFormat="1" applyFont="1" applyFill="1" applyBorder="1" applyAlignment="1">
      <alignment horizontal="right" vertical="center"/>
    </xf>
    <xf numFmtId="4" fontId="47" fillId="7" borderId="51" xfId="52" applyNumberFormat="1" applyFont="1" applyFill="1" applyBorder="1" applyAlignment="1">
      <alignment vertical="center"/>
    </xf>
    <xf numFmtId="4" fontId="47" fillId="7" borderId="52" xfId="52" applyNumberFormat="1" applyFont="1" applyFill="1" applyBorder="1" applyAlignment="1">
      <alignment vertical="center"/>
    </xf>
    <xf numFmtId="3" fontId="47" fillId="3" borderId="52" xfId="52" applyNumberFormat="1" applyFont="1" applyFill="1" applyBorder="1" applyAlignment="1">
      <alignment vertical="center"/>
    </xf>
    <xf numFmtId="4" fontId="51" fillId="7" borderId="51" xfId="52" applyNumberFormat="1" applyFont="1" applyFill="1" applyBorder="1" applyAlignment="1">
      <alignment vertical="center"/>
    </xf>
    <xf numFmtId="4" fontId="51" fillId="7" borderId="52" xfId="52" applyNumberFormat="1" applyFont="1" applyFill="1" applyBorder="1" applyAlignment="1">
      <alignment vertical="center"/>
    </xf>
    <xf numFmtId="3" fontId="51" fillId="3" borderId="52" xfId="52" applyNumberFormat="1" applyFont="1" applyFill="1" applyBorder="1" applyAlignment="1">
      <alignment vertical="center"/>
    </xf>
    <xf numFmtId="3" fontId="51" fillId="3" borderId="52" xfId="2" applyNumberFormat="1" applyFont="1" applyFill="1" applyBorder="1" applyAlignment="1">
      <alignment horizontal="right" vertical="center"/>
    </xf>
    <xf numFmtId="4" fontId="51" fillId="7" borderId="52" xfId="52" applyNumberFormat="1" applyFont="1" applyFill="1" applyBorder="1" applyAlignment="1">
      <alignment horizontal="right" vertical="center"/>
    </xf>
    <xf numFmtId="3" fontId="43" fillId="3" borderId="52" xfId="52" applyNumberFormat="1" applyFont="1" applyFill="1" applyBorder="1" applyAlignment="1">
      <alignment horizontal="right" vertical="center"/>
    </xf>
    <xf numFmtId="4" fontId="46" fillId="13" borderId="22" xfId="52" applyNumberFormat="1" applyFont="1" applyFill="1" applyBorder="1" applyAlignment="1">
      <alignment horizontal="right" vertical="center"/>
    </xf>
    <xf numFmtId="3" fontId="51" fillId="3" borderId="52" xfId="52" applyNumberFormat="1" applyFont="1" applyFill="1" applyBorder="1" applyAlignment="1">
      <alignment horizontal="right" vertical="center"/>
    </xf>
    <xf numFmtId="49" fontId="46" fillId="0" borderId="32" xfId="52" applyNumberFormat="1" applyFont="1" applyFill="1" applyBorder="1" applyAlignment="1">
      <alignment horizontal="justify" vertical="center"/>
    </xf>
    <xf numFmtId="49" fontId="55" fillId="0" borderId="17" xfId="52" applyNumberFormat="1" applyFont="1" applyFill="1" applyBorder="1" applyAlignment="1">
      <alignment horizontal="justify" vertical="center"/>
    </xf>
    <xf numFmtId="4" fontId="47" fillId="13" borderId="65" xfId="52" applyNumberFormat="1" applyFont="1" applyFill="1" applyBorder="1" applyAlignment="1">
      <alignment horizontal="right" vertical="center"/>
    </xf>
    <xf numFmtId="0" fontId="41" fillId="0" borderId="0" xfId="52" applyFont="1" applyAlignment="1">
      <alignment vertical="center"/>
    </xf>
    <xf numFmtId="49" fontId="55" fillId="0" borderId="12" xfId="52" applyNumberFormat="1" applyFont="1" applyFill="1" applyBorder="1" applyAlignment="1">
      <alignment horizontal="justify" vertical="center"/>
    </xf>
    <xf numFmtId="4" fontId="47" fillId="13" borderId="25" xfId="52" applyNumberFormat="1" applyFont="1" applyFill="1" applyBorder="1" applyAlignment="1">
      <alignment horizontal="right" vertical="center"/>
    </xf>
    <xf numFmtId="49" fontId="46" fillId="0" borderId="36" xfId="52" applyNumberFormat="1" applyFont="1" applyFill="1" applyBorder="1" applyAlignment="1">
      <alignment vertical="center"/>
    </xf>
    <xf numFmtId="4" fontId="43" fillId="0" borderId="0" xfId="52" applyNumberFormat="1" applyFont="1" applyFill="1" applyBorder="1" applyAlignment="1">
      <alignment horizontal="right" vertical="center"/>
    </xf>
    <xf numFmtId="49" fontId="15" fillId="0" borderId="0" xfId="52" applyNumberFormat="1" applyFont="1" applyFill="1" applyBorder="1" applyAlignment="1">
      <alignment vertical="center"/>
    </xf>
    <xf numFmtId="4" fontId="15" fillId="0" borderId="0" xfId="52" applyNumberFormat="1" applyFont="1" applyFill="1" applyBorder="1" applyAlignment="1">
      <alignment vertical="center"/>
    </xf>
    <xf numFmtId="49" fontId="56" fillId="0" borderId="0" xfId="52" applyNumberFormat="1" applyFont="1" applyAlignment="1">
      <alignment horizontal="left" vertical="center"/>
    </xf>
    <xf numFmtId="4" fontId="56" fillId="0" borderId="0" xfId="52" applyNumberFormat="1" applyFont="1" applyAlignment="1">
      <alignment horizontal="left" vertical="center"/>
    </xf>
    <xf numFmtId="49" fontId="57" fillId="0" borderId="0" xfId="52" applyNumberFormat="1" applyFont="1" applyAlignment="1">
      <alignment horizontal="left" vertical="center"/>
    </xf>
    <xf numFmtId="0" fontId="3" fillId="0" borderId="0" xfId="52" applyBorder="1" applyAlignment="1">
      <alignment vertical="center"/>
    </xf>
    <xf numFmtId="4" fontId="46" fillId="13" borderId="38" xfId="52" applyNumberFormat="1" applyFont="1" applyFill="1" applyBorder="1" applyAlignment="1">
      <alignment vertical="center"/>
    </xf>
    <xf numFmtId="3" fontId="3" fillId="0" borderId="0" xfId="52" applyNumberFormat="1" applyBorder="1" applyAlignment="1">
      <alignment vertical="center"/>
    </xf>
    <xf numFmtId="3" fontId="49" fillId="3" borderId="63" xfId="52" applyNumberFormat="1" applyFont="1" applyFill="1" applyBorder="1" applyAlignment="1">
      <alignment vertical="center"/>
    </xf>
    <xf numFmtId="4" fontId="49" fillId="13" borderId="65" xfId="52" applyNumberFormat="1" applyFont="1" applyFill="1" applyBorder="1" applyAlignment="1">
      <alignment vertical="center"/>
    </xf>
    <xf numFmtId="4" fontId="43" fillId="7" borderId="62" xfId="52" applyNumberFormat="1" applyFont="1" applyFill="1" applyBorder="1" applyAlignment="1">
      <alignment vertical="center"/>
    </xf>
    <xf numFmtId="3" fontId="43" fillId="3" borderId="63" xfId="52" applyNumberFormat="1" applyFont="1" applyFill="1" applyBorder="1" applyAlignment="1">
      <alignment vertical="center"/>
    </xf>
    <xf numFmtId="3" fontId="49" fillId="3" borderId="11" xfId="52" applyNumberFormat="1" applyFont="1" applyFill="1" applyBorder="1" applyAlignment="1">
      <alignment vertical="center"/>
    </xf>
    <xf numFmtId="4" fontId="49" fillId="13" borderId="22" xfId="52" applyNumberFormat="1" applyFont="1" applyFill="1" applyBorder="1" applyAlignment="1">
      <alignment vertical="center"/>
    </xf>
    <xf numFmtId="4" fontId="43" fillId="7" borderId="28" xfId="52" applyNumberFormat="1" applyFont="1" applyFill="1" applyBorder="1" applyAlignment="1">
      <alignment vertical="center"/>
    </xf>
    <xf numFmtId="3" fontId="43" fillId="3" borderId="11" xfId="52" applyNumberFormat="1" applyFont="1" applyFill="1" applyBorder="1" applyAlignment="1">
      <alignment vertical="center"/>
    </xf>
    <xf numFmtId="4" fontId="49" fillId="13" borderId="38" xfId="52" applyNumberFormat="1" applyFont="1" applyFill="1" applyBorder="1" applyAlignment="1">
      <alignment vertical="center"/>
    </xf>
    <xf numFmtId="4" fontId="43" fillId="7" borderId="24" xfId="52" applyNumberFormat="1" applyFont="1" applyFill="1" applyBorder="1" applyAlignment="1">
      <alignment vertical="center"/>
    </xf>
    <xf numFmtId="3" fontId="43" fillId="3" borderId="24" xfId="52" applyNumberFormat="1" applyFont="1" applyFill="1" applyBorder="1" applyAlignment="1">
      <alignment vertical="center"/>
    </xf>
    <xf numFmtId="4" fontId="49" fillId="13" borderId="25" xfId="52" applyNumberFormat="1" applyFont="1" applyFill="1" applyBorder="1" applyAlignment="1">
      <alignment vertical="center"/>
    </xf>
    <xf numFmtId="4" fontId="43" fillId="7" borderId="23" xfId="52" applyNumberFormat="1" applyFont="1" applyFill="1" applyBorder="1" applyAlignment="1">
      <alignment vertical="center"/>
    </xf>
    <xf numFmtId="3" fontId="47" fillId="3" borderId="24" xfId="52" applyNumberFormat="1" applyFont="1" applyFill="1" applyBorder="1" applyAlignment="1">
      <alignment vertical="center"/>
    </xf>
    <xf numFmtId="0" fontId="1" fillId="0" borderId="0" xfId="67" applyAlignment="1">
      <alignment vertical="center"/>
    </xf>
    <xf numFmtId="4" fontId="45" fillId="13" borderId="38" xfId="52" applyNumberFormat="1" applyFont="1" applyFill="1" applyBorder="1" applyAlignment="1">
      <alignment vertical="center"/>
    </xf>
    <xf numFmtId="4" fontId="51" fillId="13" borderId="38" xfId="52" applyNumberFormat="1" applyFont="1" applyFill="1" applyBorder="1" applyAlignment="1">
      <alignment vertical="center"/>
    </xf>
    <xf numFmtId="4" fontId="24" fillId="7" borderId="62" xfId="52" applyNumberFormat="1" applyFont="1" applyFill="1" applyBorder="1" applyAlignment="1">
      <alignment vertical="center"/>
    </xf>
    <xf numFmtId="4" fontId="24" fillId="7" borderId="63" xfId="52" applyNumberFormat="1" applyFont="1" applyFill="1" applyBorder="1" applyAlignment="1">
      <alignment vertical="center"/>
    </xf>
    <xf numFmtId="3" fontId="24" fillId="3" borderId="63" xfId="52" applyNumberFormat="1" applyFont="1" applyFill="1" applyBorder="1" applyAlignment="1">
      <alignment vertical="center"/>
    </xf>
    <xf numFmtId="4" fontId="24" fillId="7" borderId="23" xfId="52" applyNumberFormat="1" applyFont="1" applyFill="1" applyBorder="1" applyAlignment="1">
      <alignment vertical="center"/>
    </xf>
    <xf numFmtId="4" fontId="24" fillId="7" borderId="24" xfId="52" applyNumberFormat="1" applyFont="1" applyFill="1" applyBorder="1" applyAlignment="1">
      <alignment vertical="center"/>
    </xf>
    <xf numFmtId="3" fontId="24" fillId="3" borderId="24" xfId="52" applyNumberFormat="1" applyFont="1" applyFill="1" applyBorder="1" applyAlignment="1">
      <alignment vertical="center"/>
    </xf>
    <xf numFmtId="4" fontId="52" fillId="7" borderId="62" xfId="52" applyNumberFormat="1" applyFont="1" applyFill="1" applyBorder="1" applyAlignment="1">
      <alignment vertical="center"/>
    </xf>
    <xf numFmtId="4" fontId="24" fillId="7" borderId="28" xfId="2" applyNumberFormat="1" applyFont="1" applyFill="1" applyBorder="1" applyAlignment="1">
      <alignment vertical="center"/>
    </xf>
    <xf numFmtId="4" fontId="24" fillId="7" borderId="11" xfId="52" applyNumberFormat="1" applyFont="1" applyFill="1" applyBorder="1" applyAlignment="1">
      <alignment vertical="center"/>
    </xf>
    <xf numFmtId="3" fontId="24" fillId="3" borderId="11" xfId="52" applyNumberFormat="1" applyFont="1" applyFill="1" applyBorder="1" applyAlignment="1">
      <alignment vertical="center"/>
    </xf>
    <xf numFmtId="4" fontId="24" fillId="7" borderId="28" xfId="52" applyNumberFormat="1" applyFont="1" applyFill="1" applyBorder="1" applyAlignment="1">
      <alignment vertical="center"/>
    </xf>
    <xf numFmtId="49" fontId="15" fillId="0" borderId="2" xfId="52" applyNumberFormat="1" applyFont="1" applyFill="1" applyBorder="1" applyAlignment="1">
      <alignment vertical="center"/>
    </xf>
    <xf numFmtId="4" fontId="46" fillId="7" borderId="29" xfId="52" applyNumberFormat="1" applyFont="1" applyFill="1" applyBorder="1" applyAlignment="1">
      <alignment vertical="center"/>
    </xf>
    <xf numFmtId="4" fontId="46" fillId="7" borderId="30" xfId="52" applyNumberFormat="1" applyFont="1" applyFill="1" applyBorder="1" applyAlignment="1">
      <alignment vertical="center"/>
    </xf>
    <xf numFmtId="3" fontId="46" fillId="3" borderId="30" xfId="52" applyNumberFormat="1" applyFont="1" applyFill="1" applyBorder="1" applyAlignment="1">
      <alignment vertical="center"/>
    </xf>
    <xf numFmtId="4" fontId="46" fillId="13" borderId="27" xfId="52" applyNumberFormat="1" applyFont="1" applyFill="1" applyBorder="1" applyAlignment="1">
      <alignment vertical="center"/>
    </xf>
    <xf numFmtId="4" fontId="51" fillId="13" borderId="27" xfId="52" applyNumberFormat="1" applyFont="1" applyFill="1" applyBorder="1" applyAlignment="1">
      <alignment vertical="center"/>
    </xf>
    <xf numFmtId="3" fontId="46" fillId="0" borderId="0" xfId="52" applyNumberFormat="1" applyFont="1" applyFill="1" applyBorder="1" applyAlignment="1">
      <alignment vertical="center"/>
    </xf>
    <xf numFmtId="4" fontId="51" fillId="0" borderId="0" xfId="52" applyNumberFormat="1" applyFont="1" applyFill="1" applyBorder="1" applyAlignment="1">
      <alignment vertical="center"/>
    </xf>
    <xf numFmtId="4" fontId="49" fillId="13" borderId="21" xfId="52" applyNumberFormat="1" applyFont="1" applyFill="1" applyBorder="1" applyAlignment="1">
      <alignment vertical="center"/>
    </xf>
    <xf numFmtId="4" fontId="43" fillId="7" borderId="75" xfId="52" applyNumberFormat="1" applyFont="1" applyFill="1" applyBorder="1" applyAlignment="1">
      <alignment vertical="center"/>
    </xf>
    <xf numFmtId="4" fontId="43" fillId="7" borderId="76" xfId="52" applyNumberFormat="1" applyFont="1" applyFill="1" applyBorder="1" applyAlignment="1">
      <alignment vertical="center"/>
    </xf>
    <xf numFmtId="3" fontId="43" fillId="3" borderId="76" xfId="52" applyNumberFormat="1" applyFont="1" applyFill="1" applyBorder="1" applyAlignment="1">
      <alignment vertical="center"/>
    </xf>
    <xf numFmtId="4" fontId="49" fillId="13" borderId="77" xfId="52" applyNumberFormat="1" applyFont="1" applyFill="1" applyBorder="1" applyAlignment="1">
      <alignment vertical="center"/>
    </xf>
    <xf numFmtId="4" fontId="51" fillId="7" borderId="67" xfId="52" applyNumberFormat="1" applyFont="1" applyFill="1" applyBorder="1" applyAlignment="1">
      <alignment vertical="center"/>
    </xf>
    <xf numFmtId="4" fontId="51" fillId="7" borderId="68" xfId="52" applyNumberFormat="1" applyFont="1" applyFill="1" applyBorder="1" applyAlignment="1">
      <alignment vertical="center"/>
    </xf>
    <xf numFmtId="3" fontId="51" fillId="3" borderId="68" xfId="52" applyNumberFormat="1" applyFont="1" applyFill="1" applyBorder="1" applyAlignment="1">
      <alignment vertical="center"/>
    </xf>
    <xf numFmtId="4" fontId="49" fillId="13" borderId="78" xfId="52" applyNumberFormat="1" applyFont="1" applyFill="1" applyBorder="1" applyAlignment="1">
      <alignment vertical="center"/>
    </xf>
    <xf numFmtId="4" fontId="43" fillId="7" borderId="51" xfId="52" applyNumberFormat="1" applyFont="1" applyFill="1" applyBorder="1" applyAlignment="1">
      <alignment vertical="center"/>
    </xf>
    <xf numFmtId="4" fontId="43" fillId="7" borderId="52" xfId="52" applyNumberFormat="1" applyFont="1" applyFill="1" applyBorder="1" applyAlignment="1">
      <alignment vertical="center"/>
    </xf>
    <xf numFmtId="3" fontId="43" fillId="3" borderId="52" xfId="52" applyNumberFormat="1" applyFont="1" applyFill="1" applyBorder="1" applyAlignment="1">
      <alignment vertical="center"/>
    </xf>
    <xf numFmtId="4" fontId="43" fillId="7" borderId="34" xfId="52" applyNumberFormat="1" applyFont="1" applyFill="1" applyBorder="1" applyAlignment="1">
      <alignment vertical="center"/>
    </xf>
    <xf numFmtId="4" fontId="43" fillId="7" borderId="35" xfId="52" applyNumberFormat="1" applyFont="1" applyFill="1" applyBorder="1" applyAlignment="1">
      <alignment vertical="center"/>
    </xf>
    <xf numFmtId="3" fontId="43" fillId="3" borderId="35" xfId="52" applyNumberFormat="1" applyFont="1" applyFill="1" applyBorder="1" applyAlignment="1">
      <alignment vertical="center"/>
    </xf>
    <xf numFmtId="4" fontId="43" fillId="7" borderId="70" xfId="52" applyNumberFormat="1" applyFont="1" applyFill="1" applyBorder="1" applyAlignment="1">
      <alignment vertical="center"/>
    </xf>
    <xf numFmtId="4" fontId="43" fillId="7" borderId="71" xfId="52" applyNumberFormat="1" applyFont="1" applyFill="1" applyBorder="1" applyAlignment="1">
      <alignment vertical="center"/>
    </xf>
    <xf numFmtId="3" fontId="43" fillId="3" borderId="30" xfId="52" applyNumberFormat="1" applyFont="1" applyFill="1" applyBorder="1" applyAlignment="1">
      <alignment vertical="center"/>
    </xf>
    <xf numFmtId="4" fontId="49" fillId="13" borderId="27" xfId="52" applyNumberFormat="1" applyFont="1" applyFill="1" applyBorder="1" applyAlignment="1">
      <alignment vertical="center"/>
    </xf>
    <xf numFmtId="3" fontId="43" fillId="3" borderId="71" xfId="52" applyNumberFormat="1" applyFont="1" applyFill="1" applyBorder="1" applyAlignment="1">
      <alignment vertical="center"/>
    </xf>
    <xf numFmtId="4" fontId="49" fillId="13" borderId="79" xfId="52" applyNumberFormat="1" applyFont="1" applyFill="1" applyBorder="1" applyAlignment="1">
      <alignment vertical="center"/>
    </xf>
    <xf numFmtId="4" fontId="46" fillId="7" borderId="75" xfId="2" applyNumberFormat="1" applyFont="1" applyFill="1" applyBorder="1" applyAlignment="1">
      <alignment vertical="center"/>
    </xf>
    <xf numFmtId="4" fontId="46" fillId="7" borderId="76" xfId="2" applyNumberFormat="1" applyFont="1" applyFill="1" applyBorder="1" applyAlignment="1">
      <alignment vertical="center"/>
    </xf>
    <xf numFmtId="3" fontId="46" fillId="3" borderId="76" xfId="2" applyNumberFormat="1" applyFont="1" applyFill="1" applyBorder="1" applyAlignment="1">
      <alignment vertical="center"/>
    </xf>
    <xf numFmtId="4" fontId="51" fillId="13" borderId="77" xfId="52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6" fillId="0" borderId="0" xfId="4" applyFont="1" applyBorder="1" applyAlignment="1">
      <alignment horizontal="center"/>
    </xf>
    <xf numFmtId="0" fontId="13" fillId="9" borderId="32" xfId="4" applyFont="1" applyFill="1" applyBorder="1" applyAlignment="1">
      <alignment horizontal="center" vertical="center" wrapText="1"/>
    </xf>
    <xf numFmtId="0" fontId="13" fillId="9" borderId="33" xfId="4" applyFont="1" applyFill="1" applyBorder="1" applyAlignment="1">
      <alignment horizontal="center" vertical="center" wrapText="1"/>
    </xf>
    <xf numFmtId="0" fontId="13" fillId="9" borderId="20" xfId="4" applyFont="1" applyFill="1" applyBorder="1" applyAlignment="1">
      <alignment horizontal="center" vertical="center" wrapText="1"/>
    </xf>
    <xf numFmtId="0" fontId="13" fillId="9" borderId="36" xfId="4" applyFont="1" applyFill="1" applyBorder="1" applyAlignment="1">
      <alignment horizontal="center" vertical="center" wrapText="1"/>
    </xf>
    <xf numFmtId="0" fontId="13" fillId="9" borderId="1" xfId="4" applyFont="1" applyFill="1" applyBorder="1" applyAlignment="1">
      <alignment horizontal="center" vertical="center" wrapText="1"/>
    </xf>
    <xf numFmtId="0" fontId="13" fillId="9" borderId="37" xfId="4" applyFont="1" applyFill="1" applyBorder="1" applyAlignment="1">
      <alignment horizontal="center" vertical="center" wrapText="1"/>
    </xf>
    <xf numFmtId="0" fontId="18" fillId="9" borderId="18" xfId="0" applyFont="1" applyFill="1" applyBorder="1" applyAlignment="1">
      <alignment horizontal="center" vertical="center" wrapText="1"/>
    </xf>
    <xf numFmtId="0" fontId="18" fillId="9" borderId="19" xfId="0" applyFont="1" applyFill="1" applyBorder="1" applyAlignment="1">
      <alignment horizontal="center" vertical="center" wrapText="1"/>
    </xf>
    <xf numFmtId="0" fontId="13" fillId="9" borderId="2" xfId="53" applyFont="1" applyFill="1" applyBorder="1" applyAlignment="1">
      <alignment horizontal="center" vertical="center" wrapText="1"/>
    </xf>
    <xf numFmtId="0" fontId="13" fillId="9" borderId="4" xfId="53" applyFont="1" applyFill="1" applyBorder="1" applyAlignment="1">
      <alignment horizontal="center" vertical="center" wrapText="1"/>
    </xf>
    <xf numFmtId="3" fontId="16" fillId="7" borderId="46" xfId="0" applyNumberFormat="1" applyFont="1" applyFill="1" applyBorder="1" applyAlignment="1">
      <alignment horizontal="center"/>
    </xf>
    <xf numFmtId="3" fontId="16" fillId="7" borderId="7" xfId="0" applyNumberFormat="1" applyFont="1" applyFill="1" applyBorder="1" applyAlignment="1">
      <alignment horizontal="center"/>
    </xf>
    <xf numFmtId="3" fontId="16" fillId="3" borderId="46" xfId="0" applyNumberFormat="1" applyFont="1" applyFill="1" applyBorder="1" applyAlignment="1">
      <alignment horizontal="center"/>
    </xf>
    <xf numFmtId="3" fontId="16" fillId="3" borderId="7" xfId="0" applyNumberFormat="1" applyFont="1" applyFill="1" applyBorder="1" applyAlignment="1">
      <alignment horizontal="center"/>
    </xf>
    <xf numFmtId="4" fontId="16" fillId="12" borderId="46" xfId="0" applyNumberFormat="1" applyFont="1" applyFill="1" applyBorder="1" applyAlignment="1">
      <alignment horizontal="center"/>
    </xf>
    <xf numFmtId="4" fontId="16" fillId="12" borderId="7" xfId="0" applyNumberFormat="1" applyFont="1" applyFill="1" applyBorder="1" applyAlignment="1">
      <alignment horizontal="center"/>
    </xf>
    <xf numFmtId="0" fontId="13" fillId="6" borderId="44" xfId="4" applyFont="1" applyFill="1" applyBorder="1" applyAlignment="1">
      <alignment horizontal="left" indent="1"/>
    </xf>
    <xf numFmtId="0" fontId="18" fillId="6" borderId="45" xfId="0" applyFont="1" applyFill="1" applyBorder="1" applyAlignment="1">
      <alignment horizontal="left" indent="1"/>
    </xf>
    <xf numFmtId="0" fontId="16" fillId="0" borderId="13" xfId="0" applyFont="1" applyBorder="1" applyAlignment="1">
      <alignment horizontal="left" indent="1"/>
    </xf>
    <xf numFmtId="0" fontId="13" fillId="9" borderId="2" xfId="4" applyFont="1" applyFill="1" applyBorder="1" applyAlignment="1">
      <alignment horizontal="left" vertical="center" indent="1"/>
    </xf>
    <xf numFmtId="0" fontId="13" fillId="9" borderId="3" xfId="4" applyFont="1" applyFill="1" applyBorder="1" applyAlignment="1">
      <alignment horizontal="left" vertical="center" indent="1"/>
    </xf>
    <xf numFmtId="0" fontId="13" fillId="9" borderId="4" xfId="4" applyFont="1" applyFill="1" applyBorder="1" applyAlignment="1">
      <alignment horizontal="left" vertical="center" indent="1"/>
    </xf>
    <xf numFmtId="3" fontId="16" fillId="7" borderId="48" xfId="0" applyNumberFormat="1" applyFont="1" applyFill="1" applyBorder="1" applyAlignment="1">
      <alignment horizontal="center"/>
    </xf>
    <xf numFmtId="3" fontId="16" fillId="7" borderId="10" xfId="0" applyNumberFormat="1" applyFont="1" applyFill="1" applyBorder="1" applyAlignment="1">
      <alignment horizontal="center"/>
    </xf>
    <xf numFmtId="3" fontId="16" fillId="3" borderId="48" xfId="0" applyNumberFormat="1" applyFont="1" applyFill="1" applyBorder="1" applyAlignment="1">
      <alignment horizontal="center"/>
    </xf>
    <xf numFmtId="3" fontId="16" fillId="3" borderId="10" xfId="0" applyNumberFormat="1" applyFont="1" applyFill="1" applyBorder="1" applyAlignment="1">
      <alignment horizontal="center"/>
    </xf>
    <xf numFmtId="4" fontId="16" fillId="12" borderId="48" xfId="0" applyNumberFormat="1" applyFont="1" applyFill="1" applyBorder="1" applyAlignment="1">
      <alignment horizontal="center"/>
    </xf>
    <xf numFmtId="4" fontId="16" fillId="12" borderId="10" xfId="0" applyNumberFormat="1" applyFont="1" applyFill="1" applyBorder="1" applyAlignment="1">
      <alignment horizontal="center"/>
    </xf>
    <xf numFmtId="3" fontId="16" fillId="7" borderId="47" xfId="0" applyNumberFormat="1" applyFont="1" applyFill="1" applyBorder="1" applyAlignment="1">
      <alignment horizontal="center"/>
    </xf>
    <xf numFmtId="3" fontId="16" fillId="7" borderId="26" xfId="0" applyNumberFormat="1" applyFont="1" applyFill="1" applyBorder="1" applyAlignment="1">
      <alignment horizontal="center"/>
    </xf>
    <xf numFmtId="3" fontId="16" fillId="3" borderId="47" xfId="0" applyNumberFormat="1" applyFont="1" applyFill="1" applyBorder="1" applyAlignment="1">
      <alignment horizontal="center"/>
    </xf>
    <xf numFmtId="3" fontId="16" fillId="3" borderId="26" xfId="0" applyNumberFormat="1" applyFont="1" applyFill="1" applyBorder="1" applyAlignment="1">
      <alignment horizontal="center"/>
    </xf>
    <xf numFmtId="4" fontId="16" fillId="12" borderId="47" xfId="0" applyNumberFormat="1" applyFont="1" applyFill="1" applyBorder="1" applyAlignment="1">
      <alignment horizontal="center"/>
    </xf>
    <xf numFmtId="4" fontId="16" fillId="12" borderId="26" xfId="0" applyNumberFormat="1" applyFont="1" applyFill="1" applyBorder="1" applyAlignment="1">
      <alignment horizontal="center"/>
    </xf>
    <xf numFmtId="0" fontId="13" fillId="2" borderId="44" xfId="4" applyFont="1" applyFill="1" applyBorder="1" applyAlignment="1">
      <alignment horizontal="left" indent="2"/>
    </xf>
    <xf numFmtId="0" fontId="13" fillId="2" borderId="45" xfId="4" applyFont="1" applyFill="1" applyBorder="1" applyAlignment="1">
      <alignment horizontal="left" indent="2"/>
    </xf>
    <xf numFmtId="0" fontId="13" fillId="2" borderId="13" xfId="4" applyFont="1" applyFill="1" applyBorder="1" applyAlignment="1">
      <alignment horizontal="left" indent="2"/>
    </xf>
    <xf numFmtId="3" fontId="13" fillId="2" borderId="44" xfId="0" applyNumberFormat="1" applyFont="1" applyFill="1" applyBorder="1" applyAlignment="1">
      <alignment horizontal="center"/>
    </xf>
    <xf numFmtId="3" fontId="13" fillId="2" borderId="13" xfId="0" applyNumberFormat="1" applyFont="1" applyFill="1" applyBorder="1" applyAlignment="1">
      <alignment horizontal="center"/>
    </xf>
    <xf numFmtId="4" fontId="13" fillId="2" borderId="44" xfId="0" applyNumberFormat="1" applyFont="1" applyFill="1" applyBorder="1" applyAlignment="1">
      <alignment horizontal="center"/>
    </xf>
    <xf numFmtId="4" fontId="13" fillId="2" borderId="13" xfId="0" applyNumberFormat="1" applyFont="1" applyFill="1" applyBorder="1" applyAlignment="1">
      <alignment horizontal="center"/>
    </xf>
    <xf numFmtId="0" fontId="16" fillId="0" borderId="46" xfId="4" applyFont="1" applyFill="1" applyBorder="1" applyAlignment="1">
      <alignment horizontal="left"/>
    </xf>
    <xf numFmtId="0" fontId="16" fillId="0" borderId="49" xfId="4" applyFont="1" applyFill="1" applyBorder="1" applyAlignment="1">
      <alignment horizontal="left"/>
    </xf>
    <xf numFmtId="0" fontId="16" fillId="0" borderId="7" xfId="4" applyFont="1" applyFill="1" applyBorder="1" applyAlignment="1">
      <alignment horizontal="left"/>
    </xf>
    <xf numFmtId="0" fontId="16" fillId="0" borderId="48" xfId="4" applyFont="1" applyFill="1" applyBorder="1" applyAlignment="1">
      <alignment horizontal="left"/>
    </xf>
    <xf numFmtId="0" fontId="16" fillId="0" borderId="50" xfId="4" applyFont="1" applyFill="1" applyBorder="1" applyAlignment="1">
      <alignment horizontal="left"/>
    </xf>
    <xf numFmtId="0" fontId="16" fillId="0" borderId="10" xfId="4" applyFont="1" applyFill="1" applyBorder="1" applyAlignment="1">
      <alignment horizontal="left"/>
    </xf>
    <xf numFmtId="0" fontId="13" fillId="0" borderId="33" xfId="4" applyFont="1" applyFill="1" applyBorder="1" applyAlignment="1">
      <alignment horizontal="left"/>
    </xf>
    <xf numFmtId="0" fontId="13" fillId="2" borderId="44" xfId="4" applyFont="1" applyFill="1" applyBorder="1" applyAlignment="1"/>
    <xf numFmtId="0" fontId="13" fillId="2" borderId="45" xfId="4" applyFont="1" applyFill="1" applyBorder="1" applyAlignment="1"/>
    <xf numFmtId="0" fontId="13" fillId="2" borderId="13" xfId="4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49" fontId="44" fillId="2" borderId="18" xfId="52" applyNumberFormat="1" applyFont="1" applyFill="1" applyBorder="1" applyAlignment="1">
      <alignment horizontal="center" vertical="center" wrapText="1"/>
    </xf>
    <xf numFmtId="49" fontId="44" fillId="2" borderId="36" xfId="52" applyNumberFormat="1" applyFont="1" applyFill="1" applyBorder="1" applyAlignment="1">
      <alignment horizontal="center" vertical="center" wrapText="1"/>
    </xf>
    <xf numFmtId="4" fontId="12" fillId="2" borderId="46" xfId="52" applyNumberFormat="1" applyFont="1" applyFill="1" applyBorder="1" applyAlignment="1">
      <alignment horizontal="center" vertical="center"/>
    </xf>
    <xf numFmtId="4" fontId="1" fillId="2" borderId="49" xfId="67" applyNumberFormat="1" applyFill="1" applyBorder="1" applyAlignment="1">
      <alignment horizontal="center" vertical="center"/>
    </xf>
    <xf numFmtId="4" fontId="1" fillId="2" borderId="73" xfId="67" applyNumberFormat="1" applyFill="1" applyBorder="1" applyAlignment="1">
      <alignment horizontal="center" vertical="center"/>
    </xf>
    <xf numFmtId="4" fontId="12" fillId="2" borderId="74" xfId="52" applyNumberFormat="1" applyFont="1" applyFill="1" applyBorder="1" applyAlignment="1">
      <alignment horizontal="center" vertical="center"/>
    </xf>
    <xf numFmtId="4" fontId="43" fillId="0" borderId="0" xfId="52" applyNumberFormat="1" applyFont="1" applyFill="1" applyBorder="1" applyAlignment="1">
      <alignment horizontal="right" vertical="center" wrapText="1"/>
    </xf>
    <xf numFmtId="4" fontId="43" fillId="0" borderId="0" xfId="52" applyNumberFormat="1" applyFont="1" applyBorder="1" applyAlignment="1">
      <alignment horizontal="right" vertical="center" wrapText="1"/>
    </xf>
    <xf numFmtId="4" fontId="1" fillId="2" borderId="7" xfId="67" applyNumberFormat="1" applyFill="1" applyBorder="1" applyAlignment="1">
      <alignment horizontal="center" vertical="center"/>
    </xf>
    <xf numFmtId="0" fontId="1" fillId="0" borderId="0" xfId="67" applyAlignment="1">
      <alignment horizontal="right" vertical="center" wrapText="1"/>
    </xf>
    <xf numFmtId="4" fontId="12" fillId="0" borderId="2" xfId="52" applyNumberFormat="1" applyFont="1" applyBorder="1" applyAlignment="1">
      <alignment horizontal="center" vertical="center"/>
    </xf>
    <xf numFmtId="0" fontId="58" fillId="0" borderId="3" xfId="67" applyFont="1" applyBorder="1" applyAlignment="1">
      <alignment horizontal="center" vertical="center"/>
    </xf>
    <xf numFmtId="0" fontId="58" fillId="0" borderId="4" xfId="67" applyFont="1" applyBorder="1" applyAlignment="1">
      <alignment horizontal="center" vertical="center"/>
    </xf>
    <xf numFmtId="49" fontId="44" fillId="2" borderId="32" xfId="52" applyNumberFormat="1" applyFont="1" applyFill="1" applyBorder="1" applyAlignment="1">
      <alignment horizontal="center" vertical="center" wrapText="1"/>
    </xf>
    <xf numFmtId="4" fontId="12" fillId="2" borderId="2" xfId="52" applyNumberFormat="1" applyFont="1" applyFill="1" applyBorder="1" applyAlignment="1">
      <alignment horizontal="center" vertical="center"/>
    </xf>
    <xf numFmtId="4" fontId="1" fillId="2" borderId="3" xfId="67" applyNumberFormat="1" applyFill="1" applyBorder="1" applyAlignment="1">
      <alignment horizontal="center" vertical="center"/>
    </xf>
    <xf numFmtId="4" fontId="1" fillId="2" borderId="4" xfId="67" applyNumberFormat="1" applyFill="1" applyBorder="1" applyAlignment="1">
      <alignment horizontal="center" vertical="center"/>
    </xf>
    <xf numFmtId="4" fontId="41" fillId="0" borderId="0" xfId="52" applyNumberFormat="1" applyFont="1" applyAlignment="1">
      <alignment horizontal="right" vertical="center"/>
    </xf>
    <xf numFmtId="4" fontId="41" fillId="0" borderId="0" xfId="52" applyNumberFormat="1" applyFont="1" applyAlignment="1">
      <alignment horizontal="right" vertical="center" wrapText="1"/>
    </xf>
    <xf numFmtId="49" fontId="39" fillId="0" borderId="0" xfId="52" applyNumberFormat="1" applyFont="1" applyAlignment="1">
      <alignment horizontal="center" vertical="center"/>
    </xf>
    <xf numFmtId="0" fontId="1" fillId="0" borderId="0" xfId="67" applyAlignment="1">
      <alignment horizontal="center" vertical="center"/>
    </xf>
    <xf numFmtId="0" fontId="42" fillId="0" borderId="0" xfId="52" applyFont="1" applyBorder="1" applyAlignment="1">
      <alignment horizontal="center" vertical="center"/>
    </xf>
    <xf numFmtId="49" fontId="44" fillId="2" borderId="19" xfId="52" applyNumberFormat="1" applyFont="1" applyFill="1" applyBorder="1" applyAlignment="1">
      <alignment horizontal="center" vertical="center" wrapText="1"/>
    </xf>
    <xf numFmtId="4" fontId="12" fillId="2" borderId="32" xfId="52" applyNumberFormat="1" applyFont="1" applyFill="1" applyBorder="1" applyAlignment="1">
      <alignment horizontal="center" vertical="center"/>
    </xf>
    <xf numFmtId="4" fontId="1" fillId="2" borderId="33" xfId="67" applyNumberFormat="1" applyFill="1" applyBorder="1" applyAlignment="1">
      <alignment horizontal="center" vertical="center"/>
    </xf>
    <xf numFmtId="4" fontId="1" fillId="2" borderId="20" xfId="67" applyNumberFormat="1" applyFill="1" applyBorder="1" applyAlignment="1">
      <alignment horizontal="center" vertical="center"/>
    </xf>
  </cellXfs>
  <cellStyles count="68">
    <cellStyle name="Normálna" xfId="0" builtinId="0"/>
    <cellStyle name="Normálna 10" xfId="5"/>
    <cellStyle name="Normálna 10 2" xfId="6"/>
    <cellStyle name="Normálna 10 2 2" xfId="7"/>
    <cellStyle name="Normálna 10 2 2 2" xfId="8"/>
    <cellStyle name="Normálna 10 2 2_PRÍJMY 2020-22rozpis" xfId="9"/>
    <cellStyle name="Normálna 10 2 3" xfId="10"/>
    <cellStyle name="Normálna 10 2 3 2" xfId="11"/>
    <cellStyle name="Normálna 10 2 3 2 2" xfId="12"/>
    <cellStyle name="Normálna 10 2 3 2 3" xfId="13"/>
    <cellStyle name="Normálna 10 2 3 2_PRÍJMY 2020-22rozpis" xfId="14"/>
    <cellStyle name="Normálna 10 2 3 3" xfId="15"/>
    <cellStyle name="Normálna 10 2 3_PRÍJMY 2020-22rozpis" xfId="16"/>
    <cellStyle name="Normálna 10 2 4" xfId="17"/>
    <cellStyle name="Normálna 10 2_PRÍJMY 2020-22rozpis" xfId="18"/>
    <cellStyle name="Normálna 10 3" xfId="19"/>
    <cellStyle name="Normálna 10_PRÍJMY 2020-22rozpis" xfId="20"/>
    <cellStyle name="Normálna 11" xfId="21"/>
    <cellStyle name="Normálna 11 2" xfId="22"/>
    <cellStyle name="Normálna 11_PRÍJMY 2020-22rozpis" xfId="23"/>
    <cellStyle name="Normálna 12" xfId="24"/>
    <cellStyle name="Normálna 12 2" xfId="25"/>
    <cellStyle name="Normálna 12_PRÍJMY 2020-22rozpis" xfId="26"/>
    <cellStyle name="Normálna 13" xfId="27"/>
    <cellStyle name="Normálna 13 2" xfId="28"/>
    <cellStyle name="Normálna 13_PRÍJMY 2020-22rozpis" xfId="29"/>
    <cellStyle name="Normálna 14" xfId="30"/>
    <cellStyle name="Normálna 15" xfId="31"/>
    <cellStyle name="Normálna 16" xfId="67"/>
    <cellStyle name="Normálna 2" xfId="2"/>
    <cellStyle name="Normálna 3" xfId="32"/>
    <cellStyle name="Normálna 3 2" xfId="33"/>
    <cellStyle name="Normálna 3 2 2" xfId="3"/>
    <cellStyle name="Normálna 4" xfId="34"/>
    <cellStyle name="Normálna 5" xfId="35"/>
    <cellStyle name="Normálna 6" xfId="36"/>
    <cellStyle name="Normálna 6 2" xfId="37"/>
    <cellStyle name="Normálna 6 2 2" xfId="38"/>
    <cellStyle name="Normálna 6 2_PRÍJMY 2020-22rozpis" xfId="39"/>
    <cellStyle name="Normálna 6 3" xfId="40"/>
    <cellStyle name="Normálna 6_PRÍJMY 2020-22rozpis" xfId="41"/>
    <cellStyle name="Normálna 7" xfId="42"/>
    <cellStyle name="Normálna 7 2" xfId="43"/>
    <cellStyle name="Normálna 7_PRÍJMY 2020-22rozpis" xfId="44"/>
    <cellStyle name="Normálna 8" xfId="45"/>
    <cellStyle name="Normálna 8 2" xfId="46"/>
    <cellStyle name="Normálna 8_PRÍJMY 2020-22rozpis" xfId="47"/>
    <cellStyle name="Normálna 9" xfId="48"/>
    <cellStyle name="Normálna 9 2" xfId="49"/>
    <cellStyle name="Normálna 9_PRÍJMY 2020-22rozpis" xfId="50"/>
    <cellStyle name="normálne 2" xfId="51"/>
    <cellStyle name="normální_Plnenie rozpočtu k 31 12 2008-ez" xfId="52"/>
    <cellStyle name="normální_Rozdel prvkov" xfId="4"/>
    <cellStyle name="normální_Rozdel prvkov 2 2" xfId="53"/>
    <cellStyle name="normální_úprava sept2010MZz 2 2" xfId="1"/>
    <cellStyle name="Percentá 2" xfId="54"/>
    <cellStyle name="Percentá 2 2" xfId="55"/>
    <cellStyle name="Percentá 2 3" xfId="56"/>
    <cellStyle name="Percentá 2 4" xfId="57"/>
    <cellStyle name="Percentá 2 4 2" xfId="58"/>
    <cellStyle name="Percentá 2 5" xfId="59"/>
    <cellStyle name="Percentá 2 6" xfId="60"/>
    <cellStyle name="Poznámka 2" xfId="61"/>
    <cellStyle name="Poznámka 2 2" xfId="62"/>
    <cellStyle name="Poznámka 3" xfId="63"/>
    <cellStyle name="Poznámka 4" xfId="64"/>
    <cellStyle name="Poznámka 4 2" xfId="65"/>
    <cellStyle name="Poznámka 5" xfId="66"/>
  </cellStyles>
  <dxfs count="0"/>
  <tableStyles count="0" defaultTableStyle="TableStyleMedium2" defaultPivotStyle="PivotStyleLight16"/>
  <colors>
    <mruColors>
      <color rgb="FFFEF4EC"/>
      <color rgb="FFFEF2E8"/>
      <color rgb="FFFDE6D3"/>
      <color rgb="FFFEEF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9"/>
  <sheetViews>
    <sheetView topLeftCell="A16" zoomScale="70" zoomScaleNormal="70" workbookViewId="0">
      <selection activeCell="L46" sqref="L46"/>
    </sheetView>
  </sheetViews>
  <sheetFormatPr defaultColWidth="9.140625" defaultRowHeight="12.75" x14ac:dyDescent="0.2"/>
  <cols>
    <col min="1" max="1" width="1.85546875" customWidth="1"/>
    <col min="2" max="2" width="60.7109375" customWidth="1"/>
    <col min="3" max="5" width="20.7109375" customWidth="1"/>
    <col min="6" max="6" width="12.5703125" customWidth="1"/>
    <col min="7" max="7" width="11.140625" customWidth="1"/>
  </cols>
  <sheetData>
    <row r="1" spans="2:9" ht="21.95" customHeight="1" x14ac:dyDescent="0.2">
      <c r="B1" s="573" t="s">
        <v>241</v>
      </c>
      <c r="C1" s="573"/>
      <c r="D1" s="573"/>
      <c r="E1" s="573"/>
      <c r="F1" s="573"/>
    </row>
    <row r="2" spans="2:9" ht="21.95" customHeight="1" x14ac:dyDescent="0.2">
      <c r="B2" s="574" t="s">
        <v>242</v>
      </c>
      <c r="C2" s="574"/>
      <c r="D2" s="574"/>
      <c r="E2" s="574"/>
      <c r="F2" s="574"/>
    </row>
    <row r="3" spans="2:9" ht="28.35" customHeight="1" thickBot="1" x14ac:dyDescent="0.25">
      <c r="B3" s="575"/>
      <c r="C3" s="575"/>
      <c r="D3" s="1"/>
      <c r="E3" s="1"/>
      <c r="F3" s="23" t="s">
        <v>243</v>
      </c>
    </row>
    <row r="4" spans="2:9" ht="43.15" customHeight="1" thickBot="1" x14ac:dyDescent="0.3">
      <c r="B4" s="3" t="s">
        <v>0</v>
      </c>
      <c r="C4" s="183" t="s">
        <v>53</v>
      </c>
      <c r="D4" s="184" t="s">
        <v>239</v>
      </c>
      <c r="E4" s="184" t="s">
        <v>240</v>
      </c>
      <c r="F4" s="184" t="s">
        <v>238</v>
      </c>
      <c r="G4" s="5"/>
    </row>
    <row r="5" spans="2:9" ht="24" customHeight="1" x14ac:dyDescent="0.2">
      <c r="B5" s="6" t="s">
        <v>1</v>
      </c>
      <c r="C5" s="7">
        <f t="shared" ref="C5:E5" si="0">SUM(C6+C17+C28+C48)</f>
        <v>41346280</v>
      </c>
      <c r="D5" s="7">
        <f t="shared" si="0"/>
        <v>44996403</v>
      </c>
      <c r="E5" s="7">
        <f t="shared" si="0"/>
        <v>48234254</v>
      </c>
      <c r="F5" s="192">
        <f>E5/D5*100</f>
        <v>107.19579962869477</v>
      </c>
      <c r="G5" s="8"/>
      <c r="H5" s="129"/>
      <c r="I5" s="129"/>
    </row>
    <row r="6" spans="2:9" ht="21" customHeight="1" x14ac:dyDescent="0.2">
      <c r="B6" s="9" t="s">
        <v>2</v>
      </c>
      <c r="C6" s="185">
        <f t="shared" ref="C6:E6" si="1">SUM(C8+C9+C11+C12+C13+C14+C15+C16)</f>
        <v>23289437</v>
      </c>
      <c r="D6" s="185">
        <f t="shared" si="1"/>
        <v>24033332</v>
      </c>
      <c r="E6" s="10">
        <f t="shared" si="1"/>
        <v>27169996</v>
      </c>
      <c r="F6" s="194">
        <f t="shared" ref="F6:F32" si="2">E6/D6*100</f>
        <v>113.05130724279098</v>
      </c>
      <c r="G6" s="8"/>
      <c r="H6" s="129"/>
      <c r="I6" s="129"/>
    </row>
    <row r="7" spans="2:9" ht="18.600000000000001" customHeight="1" x14ac:dyDescent="0.2">
      <c r="B7" s="11" t="s">
        <v>3</v>
      </c>
      <c r="C7" s="186"/>
      <c r="D7" s="186"/>
      <c r="E7" s="12"/>
      <c r="F7" s="193"/>
      <c r="G7" s="8"/>
      <c r="H7" s="129"/>
      <c r="I7" s="129"/>
    </row>
    <row r="8" spans="2:9" ht="18.600000000000001" customHeight="1" x14ac:dyDescent="0.2">
      <c r="B8" s="11" t="s">
        <v>4</v>
      </c>
      <c r="C8" s="186">
        <v>156000</v>
      </c>
      <c r="D8" s="186">
        <v>156000</v>
      </c>
      <c r="E8" s="12">
        <v>150834</v>
      </c>
      <c r="F8" s="193">
        <f t="shared" si="2"/>
        <v>96.688461538461539</v>
      </c>
      <c r="G8" s="8"/>
      <c r="H8" s="129"/>
      <c r="I8" s="129"/>
    </row>
    <row r="9" spans="2:9" ht="18.600000000000001" customHeight="1" x14ac:dyDescent="0.2">
      <c r="B9" s="11" t="s">
        <v>5</v>
      </c>
      <c r="C9" s="186">
        <v>530000</v>
      </c>
      <c r="D9" s="186">
        <v>530000</v>
      </c>
      <c r="E9" s="12">
        <v>590175</v>
      </c>
      <c r="F9" s="193">
        <f t="shared" si="2"/>
        <v>111.35377358490565</v>
      </c>
      <c r="G9" s="8"/>
      <c r="H9" s="129"/>
      <c r="I9" s="129"/>
    </row>
    <row r="10" spans="2:9" ht="18.600000000000001" customHeight="1" x14ac:dyDescent="0.2">
      <c r="B10" s="11" t="s">
        <v>6</v>
      </c>
      <c r="C10" s="186">
        <v>500000</v>
      </c>
      <c r="D10" s="186">
        <v>500000</v>
      </c>
      <c r="E10" s="12">
        <v>562294</v>
      </c>
      <c r="F10" s="193">
        <f t="shared" si="2"/>
        <v>112.4588</v>
      </c>
      <c r="G10" s="8"/>
      <c r="H10" s="129"/>
      <c r="I10" s="129"/>
    </row>
    <row r="11" spans="2:9" ht="18.600000000000001" customHeight="1" x14ac:dyDescent="0.2">
      <c r="B11" s="11" t="s">
        <v>7</v>
      </c>
      <c r="C11" s="186">
        <v>4000</v>
      </c>
      <c r="D11" s="186">
        <v>2000</v>
      </c>
      <c r="E11" s="12">
        <v>1715</v>
      </c>
      <c r="F11" s="193">
        <f t="shared" si="2"/>
        <v>85.75</v>
      </c>
      <c r="G11" s="8"/>
      <c r="H11" s="129"/>
      <c r="I11" s="129"/>
    </row>
    <row r="12" spans="2:9" ht="18.600000000000001" customHeight="1" x14ac:dyDescent="0.2">
      <c r="B12" s="11" t="s">
        <v>8</v>
      </c>
      <c r="C12" s="186">
        <v>8000</v>
      </c>
      <c r="D12" s="186">
        <v>8000</v>
      </c>
      <c r="E12" s="12">
        <v>8987</v>
      </c>
      <c r="F12" s="193">
        <f t="shared" si="2"/>
        <v>112.33750000000001</v>
      </c>
      <c r="G12" s="8"/>
      <c r="H12" s="129"/>
      <c r="I12" s="129"/>
    </row>
    <row r="13" spans="2:9" ht="18.600000000000001" customHeight="1" x14ac:dyDescent="0.2">
      <c r="B13" s="11" t="s">
        <v>9</v>
      </c>
      <c r="C13" s="186">
        <v>18340568</v>
      </c>
      <c r="D13" s="186">
        <v>16197332</v>
      </c>
      <c r="E13" s="12">
        <v>18592566</v>
      </c>
      <c r="F13" s="193">
        <f t="shared" si="2"/>
        <v>114.78783048961397</v>
      </c>
      <c r="G13" s="8"/>
      <c r="H13" s="129"/>
      <c r="I13" s="129"/>
    </row>
    <row r="14" spans="2:9" ht="18.600000000000001" customHeight="1" x14ac:dyDescent="0.2">
      <c r="B14" s="11" t="s">
        <v>10</v>
      </c>
      <c r="C14" s="186">
        <v>3500869</v>
      </c>
      <c r="D14" s="186">
        <v>6390000</v>
      </c>
      <c r="E14" s="12">
        <v>6594565</v>
      </c>
      <c r="F14" s="193">
        <f t="shared" si="2"/>
        <v>103.20133020344289</v>
      </c>
      <c r="G14" s="8"/>
      <c r="H14" s="129"/>
      <c r="I14" s="129"/>
    </row>
    <row r="15" spans="2:9" ht="18.600000000000001" customHeight="1" x14ac:dyDescent="0.2">
      <c r="B15" s="11" t="s">
        <v>11</v>
      </c>
      <c r="C15" s="186">
        <v>750000</v>
      </c>
      <c r="D15" s="186">
        <v>750000</v>
      </c>
      <c r="E15" s="12">
        <v>684753</v>
      </c>
      <c r="F15" s="193">
        <f t="shared" si="2"/>
        <v>91.30040000000001</v>
      </c>
      <c r="G15" s="4"/>
      <c r="H15" s="129"/>
      <c r="I15" s="129"/>
    </row>
    <row r="16" spans="2:9" ht="18.600000000000001" customHeight="1" x14ac:dyDescent="0.2">
      <c r="B16" s="11" t="s">
        <v>253</v>
      </c>
      <c r="C16" s="186">
        <v>0</v>
      </c>
      <c r="D16" s="186">
        <v>0</v>
      </c>
      <c r="E16" s="12">
        <v>546401</v>
      </c>
      <c r="F16" s="193"/>
      <c r="G16" s="4"/>
      <c r="H16" s="129"/>
      <c r="I16" s="129"/>
    </row>
    <row r="17" spans="2:9" ht="21" customHeight="1" x14ac:dyDescent="0.2">
      <c r="B17" s="9" t="s">
        <v>12</v>
      </c>
      <c r="C17" s="185">
        <f t="shared" ref="C17" si="3">SUM(C18:C25)</f>
        <v>3029387</v>
      </c>
      <c r="D17" s="185">
        <f t="shared" ref="D17:E17" si="4">SUM(D18:D26)</f>
        <v>3571389</v>
      </c>
      <c r="E17" s="10">
        <f t="shared" si="4"/>
        <v>3589037</v>
      </c>
      <c r="F17" s="194">
        <f t="shared" si="2"/>
        <v>100.49414947517619</v>
      </c>
      <c r="G17" s="4"/>
      <c r="H17" s="129"/>
      <c r="I17" s="129"/>
    </row>
    <row r="18" spans="2:9" ht="18.600000000000001" customHeight="1" x14ac:dyDescent="0.2">
      <c r="B18" s="13" t="s">
        <v>13</v>
      </c>
      <c r="C18" s="186">
        <v>180000</v>
      </c>
      <c r="D18" s="186">
        <v>180000</v>
      </c>
      <c r="E18" s="12">
        <v>156292</v>
      </c>
      <c r="F18" s="193">
        <f t="shared" si="2"/>
        <v>86.828888888888883</v>
      </c>
      <c r="G18" s="4"/>
      <c r="H18" s="129"/>
      <c r="I18" s="129"/>
    </row>
    <row r="19" spans="2:9" ht="18.600000000000001" customHeight="1" x14ac:dyDescent="0.2">
      <c r="B19" s="13" t="s">
        <v>14</v>
      </c>
      <c r="C19" s="186">
        <v>1350000</v>
      </c>
      <c r="D19" s="186">
        <v>1350000</v>
      </c>
      <c r="E19" s="12">
        <v>1350046</v>
      </c>
      <c r="F19" s="193">
        <f t="shared" si="2"/>
        <v>100.00340740740741</v>
      </c>
      <c r="G19" s="4"/>
      <c r="H19" s="129"/>
      <c r="I19" s="129"/>
    </row>
    <row r="20" spans="2:9" ht="18.600000000000001" customHeight="1" x14ac:dyDescent="0.2">
      <c r="B20" s="13" t="s">
        <v>15</v>
      </c>
      <c r="C20" s="186">
        <v>210207</v>
      </c>
      <c r="D20" s="186">
        <v>210207</v>
      </c>
      <c r="E20" s="12">
        <v>205876</v>
      </c>
      <c r="F20" s="193">
        <f t="shared" si="2"/>
        <v>97.939649964083017</v>
      </c>
      <c r="G20" s="4"/>
      <c r="H20" s="129"/>
      <c r="I20" s="129"/>
    </row>
    <row r="21" spans="2:9" ht="18.600000000000001" customHeight="1" x14ac:dyDescent="0.2">
      <c r="B21" s="13" t="s">
        <v>16</v>
      </c>
      <c r="C21" s="186">
        <v>300000</v>
      </c>
      <c r="D21" s="186">
        <v>300000</v>
      </c>
      <c r="E21" s="12">
        <v>319061</v>
      </c>
      <c r="F21" s="193">
        <f t="shared" si="2"/>
        <v>106.35366666666665</v>
      </c>
      <c r="G21" s="4"/>
      <c r="H21" s="129"/>
      <c r="I21" s="129"/>
    </row>
    <row r="22" spans="2:9" ht="18.600000000000001" customHeight="1" x14ac:dyDescent="0.2">
      <c r="B22" s="13" t="s">
        <v>17</v>
      </c>
      <c r="C22" s="186">
        <v>488800</v>
      </c>
      <c r="D22" s="186">
        <v>488800</v>
      </c>
      <c r="E22" s="12">
        <v>471306</v>
      </c>
      <c r="F22" s="193">
        <f t="shared" si="2"/>
        <v>96.421031096563013</v>
      </c>
      <c r="G22" s="4"/>
      <c r="H22" s="129"/>
      <c r="I22" s="129"/>
    </row>
    <row r="23" spans="2:9" ht="18.600000000000001" customHeight="1" x14ac:dyDescent="0.2">
      <c r="B23" s="13" t="s">
        <v>18</v>
      </c>
      <c r="C23" s="186">
        <v>235970</v>
      </c>
      <c r="D23" s="186">
        <v>122823</v>
      </c>
      <c r="E23" s="12">
        <v>135124</v>
      </c>
      <c r="F23" s="193">
        <f t="shared" si="2"/>
        <v>110.01522516141114</v>
      </c>
      <c r="G23" s="4"/>
      <c r="H23" s="129"/>
      <c r="I23" s="129"/>
    </row>
    <row r="24" spans="2:9" ht="18.600000000000001" customHeight="1" x14ac:dyDescent="0.2">
      <c r="B24" s="13" t="s">
        <v>19</v>
      </c>
      <c r="C24" s="186">
        <v>10000</v>
      </c>
      <c r="D24" s="186">
        <v>10000</v>
      </c>
      <c r="E24" s="12">
        <v>6783</v>
      </c>
      <c r="F24" s="193">
        <f t="shared" si="2"/>
        <v>67.83</v>
      </c>
      <c r="G24" s="4"/>
      <c r="H24" s="129"/>
      <c r="I24" s="129"/>
    </row>
    <row r="25" spans="2:9" ht="18.600000000000001" customHeight="1" x14ac:dyDescent="0.2">
      <c r="B25" s="13" t="s">
        <v>20</v>
      </c>
      <c r="C25" s="186">
        <v>254410</v>
      </c>
      <c r="D25" s="186">
        <v>200730</v>
      </c>
      <c r="E25" s="12">
        <v>343382</v>
      </c>
      <c r="F25" s="193">
        <f t="shared" si="2"/>
        <v>171.06660688487023</v>
      </c>
      <c r="G25" s="4"/>
      <c r="H25" s="129"/>
      <c r="I25" s="129"/>
    </row>
    <row r="26" spans="2:9" ht="18.600000000000001" customHeight="1" x14ac:dyDescent="0.2">
      <c r="B26" s="13" t="s">
        <v>21</v>
      </c>
      <c r="C26" s="186">
        <v>0</v>
      </c>
      <c r="D26" s="186">
        <v>708829</v>
      </c>
      <c r="E26" s="12">
        <v>601167</v>
      </c>
      <c r="F26" s="193">
        <f t="shared" si="2"/>
        <v>84.811287348570673</v>
      </c>
      <c r="G26" s="4"/>
      <c r="H26" s="129"/>
      <c r="I26" s="129"/>
    </row>
    <row r="27" spans="2:9" ht="18.600000000000001" customHeight="1" x14ac:dyDescent="0.2">
      <c r="B27" s="13"/>
      <c r="C27" s="186"/>
      <c r="D27" s="186"/>
      <c r="E27" s="12"/>
      <c r="F27" s="193"/>
      <c r="G27" s="4"/>
      <c r="H27" s="129"/>
      <c r="I27" s="129"/>
    </row>
    <row r="28" spans="2:9" ht="21" customHeight="1" x14ac:dyDescent="0.2">
      <c r="B28" s="14" t="s">
        <v>22</v>
      </c>
      <c r="C28" s="187">
        <f t="shared" ref="C28:E28" si="5">SUM(C29+C46+C47)</f>
        <v>11971675</v>
      </c>
      <c r="D28" s="187">
        <f t="shared" si="5"/>
        <v>15435110</v>
      </c>
      <c r="E28" s="15">
        <f t="shared" si="5"/>
        <v>15497347</v>
      </c>
      <c r="F28" s="195">
        <f t="shared" si="2"/>
        <v>100.40321708105742</v>
      </c>
      <c r="G28" s="4"/>
      <c r="H28" s="129"/>
      <c r="I28" s="129"/>
    </row>
    <row r="29" spans="2:9" ht="18.600000000000001" customHeight="1" x14ac:dyDescent="0.2">
      <c r="B29" s="13" t="s">
        <v>23</v>
      </c>
      <c r="C29" s="186">
        <f t="shared" ref="C29:E29" si="6">SUM(C30+C31+C32+C38+C39+C40+C41+C42+C43+C44+C45)</f>
        <v>11971675</v>
      </c>
      <c r="D29" s="186">
        <f t="shared" si="6"/>
        <v>13872855</v>
      </c>
      <c r="E29" s="12">
        <f t="shared" si="6"/>
        <v>13754262</v>
      </c>
      <c r="F29" s="193">
        <f t="shared" si="2"/>
        <v>99.145143519484634</v>
      </c>
      <c r="G29" s="4"/>
      <c r="H29" s="129"/>
      <c r="I29" s="129"/>
    </row>
    <row r="30" spans="2:9" ht="18.600000000000001" customHeight="1" x14ac:dyDescent="0.2">
      <c r="B30" s="13" t="s">
        <v>24</v>
      </c>
      <c r="C30" s="186">
        <v>10042969</v>
      </c>
      <c r="D30" s="186">
        <v>11868192</v>
      </c>
      <c r="E30" s="12">
        <v>11937892</v>
      </c>
      <c r="F30" s="193">
        <f t="shared" si="2"/>
        <v>100.58728406146446</v>
      </c>
      <c r="G30" s="4"/>
      <c r="H30" s="129"/>
      <c r="I30" s="129"/>
    </row>
    <row r="31" spans="2:9" s="17" customFormat="1" ht="18.600000000000001" customHeight="1" x14ac:dyDescent="0.2">
      <c r="B31" s="11" t="s">
        <v>25</v>
      </c>
      <c r="C31" s="186">
        <v>286272</v>
      </c>
      <c r="D31" s="186">
        <v>310128</v>
      </c>
      <c r="E31" s="12">
        <v>310128</v>
      </c>
      <c r="F31" s="193">
        <f t="shared" si="2"/>
        <v>100</v>
      </c>
      <c r="G31" s="4"/>
      <c r="H31" s="269"/>
      <c r="I31" s="269"/>
    </row>
    <row r="32" spans="2:9" s="17" customFormat="1" ht="18.600000000000001" customHeight="1" thickBot="1" x14ac:dyDescent="0.25">
      <c r="B32" s="18" t="s">
        <v>26</v>
      </c>
      <c r="C32" s="188">
        <v>32400</v>
      </c>
      <c r="D32" s="188">
        <v>32400</v>
      </c>
      <c r="E32" s="19">
        <v>32400</v>
      </c>
      <c r="F32" s="196">
        <f t="shared" si="2"/>
        <v>100</v>
      </c>
      <c r="G32" s="4"/>
      <c r="H32" s="269"/>
      <c r="I32" s="269"/>
    </row>
    <row r="33" spans="2:9" s="17" customFormat="1" ht="9.75" customHeight="1" x14ac:dyDescent="0.2">
      <c r="B33" s="20"/>
      <c r="C33" s="16"/>
      <c r="D33" s="16"/>
      <c r="E33" s="16"/>
      <c r="G33" s="4"/>
      <c r="H33" s="269"/>
      <c r="I33" s="269"/>
    </row>
    <row r="34" spans="2:9" s="21" customFormat="1" ht="21.95" customHeight="1" x14ac:dyDescent="0.2">
      <c r="B34" s="573" t="s">
        <v>241</v>
      </c>
      <c r="C34" s="573"/>
      <c r="D34" s="573"/>
      <c r="E34" s="573"/>
      <c r="F34" s="573"/>
    </row>
    <row r="35" spans="2:9" ht="21.95" customHeight="1" x14ac:dyDescent="0.2">
      <c r="B35" s="574" t="s">
        <v>242</v>
      </c>
      <c r="C35" s="574"/>
      <c r="D35" s="574"/>
      <c r="E35" s="574"/>
      <c r="F35" s="574"/>
    </row>
    <row r="36" spans="2:9" ht="31.15" customHeight="1" thickBot="1" x14ac:dyDescent="0.25">
      <c r="B36" s="22"/>
      <c r="D36" s="23"/>
      <c r="E36" s="23"/>
      <c r="F36" s="23" t="s">
        <v>27</v>
      </c>
    </row>
    <row r="37" spans="2:9" ht="43.15" customHeight="1" thickBot="1" x14ac:dyDescent="0.25">
      <c r="B37" s="3" t="s">
        <v>0</v>
      </c>
      <c r="C37" s="183" t="s">
        <v>53</v>
      </c>
      <c r="D37" s="184" t="s">
        <v>239</v>
      </c>
      <c r="E37" s="184" t="s">
        <v>240</v>
      </c>
      <c r="F37" s="184" t="s">
        <v>238</v>
      </c>
    </row>
    <row r="38" spans="2:9" ht="15.95" customHeight="1" x14ac:dyDescent="0.2">
      <c r="B38" s="24" t="s">
        <v>28</v>
      </c>
      <c r="C38" s="189">
        <v>1228073</v>
      </c>
      <c r="D38" s="189">
        <v>1228073</v>
      </c>
      <c r="E38" s="25">
        <v>1039780</v>
      </c>
      <c r="F38" s="199">
        <f t="shared" ref="F38:F68" si="7">E38/D38*100</f>
        <v>84.667605264507898</v>
      </c>
    </row>
    <row r="39" spans="2:9" ht="15.95" customHeight="1" x14ac:dyDescent="0.2">
      <c r="B39" s="24" t="s">
        <v>29</v>
      </c>
      <c r="C39" s="190">
        <v>114541</v>
      </c>
      <c r="D39" s="190">
        <v>150343</v>
      </c>
      <c r="E39" s="26">
        <v>150343</v>
      </c>
      <c r="F39" s="200">
        <f t="shared" si="7"/>
        <v>100</v>
      </c>
    </row>
    <row r="40" spans="2:9" ht="15.95" customHeight="1" x14ac:dyDescent="0.2">
      <c r="B40" s="11" t="s">
        <v>30</v>
      </c>
      <c r="C40" s="190">
        <v>4458</v>
      </c>
      <c r="D40" s="190">
        <v>4449</v>
      </c>
      <c r="E40" s="26">
        <v>4449</v>
      </c>
      <c r="F40" s="200">
        <f t="shared" si="7"/>
        <v>100</v>
      </c>
    </row>
    <row r="41" spans="2:9" ht="15.95" customHeight="1" x14ac:dyDescent="0.2">
      <c r="B41" s="11" t="s">
        <v>31</v>
      </c>
      <c r="C41" s="190">
        <v>149071</v>
      </c>
      <c r="D41" s="190">
        <v>160656</v>
      </c>
      <c r="E41" s="26">
        <v>160656</v>
      </c>
      <c r="F41" s="200">
        <f t="shared" si="7"/>
        <v>100</v>
      </c>
    </row>
    <row r="42" spans="2:9" ht="15.95" customHeight="1" x14ac:dyDescent="0.2">
      <c r="B42" s="11" t="s">
        <v>32</v>
      </c>
      <c r="C42" s="190">
        <v>23711</v>
      </c>
      <c r="D42" s="190">
        <v>23742</v>
      </c>
      <c r="E42" s="26">
        <v>23742</v>
      </c>
      <c r="F42" s="200">
        <f t="shared" si="7"/>
        <v>100</v>
      </c>
    </row>
    <row r="43" spans="2:9" ht="15.95" customHeight="1" x14ac:dyDescent="0.2">
      <c r="B43" s="11" t="s">
        <v>33</v>
      </c>
      <c r="C43" s="190">
        <v>48873</v>
      </c>
      <c r="D43" s="190">
        <v>53695</v>
      </c>
      <c r="E43" s="26">
        <v>53695</v>
      </c>
      <c r="F43" s="200">
        <f t="shared" si="7"/>
        <v>100</v>
      </c>
    </row>
    <row r="44" spans="2:9" ht="15.95" customHeight="1" x14ac:dyDescent="0.2">
      <c r="B44" s="11" t="s">
        <v>254</v>
      </c>
      <c r="C44" s="190">
        <v>34053</v>
      </c>
      <c r="D44" s="190">
        <v>34084</v>
      </c>
      <c r="E44" s="26">
        <v>34084</v>
      </c>
      <c r="F44" s="200">
        <f t="shared" si="7"/>
        <v>100</v>
      </c>
    </row>
    <row r="45" spans="2:9" ht="15.95" customHeight="1" x14ac:dyDescent="0.2">
      <c r="B45" s="11" t="s">
        <v>34</v>
      </c>
      <c r="C45" s="190">
        <v>7254</v>
      </c>
      <c r="D45" s="190">
        <v>7093</v>
      </c>
      <c r="E45" s="26">
        <v>7093</v>
      </c>
      <c r="F45" s="200">
        <f t="shared" si="7"/>
        <v>100</v>
      </c>
    </row>
    <row r="46" spans="2:9" ht="15.95" customHeight="1" x14ac:dyDescent="0.2">
      <c r="B46" s="11" t="s">
        <v>35</v>
      </c>
      <c r="C46" s="186">
        <v>0</v>
      </c>
      <c r="D46" s="186">
        <v>40360</v>
      </c>
      <c r="E46" s="12">
        <v>40460</v>
      </c>
      <c r="F46" s="193">
        <f t="shared" si="7"/>
        <v>100.24777006937562</v>
      </c>
    </row>
    <row r="47" spans="2:9" ht="15.95" customHeight="1" x14ac:dyDescent="0.2">
      <c r="B47" s="27" t="s">
        <v>36</v>
      </c>
      <c r="C47" s="186">
        <v>0</v>
      </c>
      <c r="D47" s="186">
        <v>1521895</v>
      </c>
      <c r="E47" s="12">
        <v>1702625</v>
      </c>
      <c r="F47" s="193">
        <f t="shared" si="7"/>
        <v>111.87532648441581</v>
      </c>
    </row>
    <row r="48" spans="2:9" s="28" customFormat="1" ht="17.25" customHeight="1" x14ac:dyDescent="0.2">
      <c r="B48" s="9" t="s">
        <v>37</v>
      </c>
      <c r="C48" s="185">
        <f t="shared" ref="C48:E48" si="8">C49+C51</f>
        <v>3055781</v>
      </c>
      <c r="D48" s="185">
        <f t="shared" si="8"/>
        <v>1956572</v>
      </c>
      <c r="E48" s="10">
        <f t="shared" si="8"/>
        <v>1977874</v>
      </c>
      <c r="F48" s="194">
        <f t="shared" si="7"/>
        <v>101.08874092034436</v>
      </c>
    </row>
    <row r="49" spans="2:6" ht="17.25" customHeight="1" x14ac:dyDescent="0.2">
      <c r="B49" s="11" t="s">
        <v>38</v>
      </c>
      <c r="C49" s="186">
        <v>2388433</v>
      </c>
      <c r="D49" s="186">
        <v>1316702</v>
      </c>
      <c r="E49" s="12">
        <v>1293675</v>
      </c>
      <c r="F49" s="193">
        <f t="shared" si="7"/>
        <v>98.251160854923896</v>
      </c>
    </row>
    <row r="50" spans="2:6" ht="17.25" customHeight="1" x14ac:dyDescent="0.2">
      <c r="B50" s="11" t="s">
        <v>39</v>
      </c>
      <c r="C50" s="190">
        <v>638753</v>
      </c>
      <c r="D50" s="190">
        <v>338094</v>
      </c>
      <c r="E50" s="26">
        <v>356896</v>
      </c>
      <c r="F50" s="200">
        <f t="shared" si="7"/>
        <v>105.56117529444474</v>
      </c>
    </row>
    <row r="51" spans="2:6" ht="17.25" customHeight="1" x14ac:dyDescent="0.2">
      <c r="B51" s="11" t="s">
        <v>40</v>
      </c>
      <c r="C51" s="186">
        <v>667348</v>
      </c>
      <c r="D51" s="186">
        <v>639870</v>
      </c>
      <c r="E51" s="12">
        <v>684199</v>
      </c>
      <c r="F51" s="193">
        <f t="shared" si="7"/>
        <v>106.92781346210948</v>
      </c>
    </row>
    <row r="52" spans="2:6" ht="17.25" customHeight="1" x14ac:dyDescent="0.2">
      <c r="B52" s="11"/>
      <c r="C52" s="186"/>
      <c r="D52" s="186"/>
      <c r="E52" s="12"/>
      <c r="F52" s="193"/>
    </row>
    <row r="53" spans="2:6" ht="21" customHeight="1" x14ac:dyDescent="0.2">
      <c r="B53" s="29" t="s">
        <v>41</v>
      </c>
      <c r="C53" s="30">
        <f t="shared" ref="C53:E53" si="9">SUM(C55:C58)</f>
        <v>910446</v>
      </c>
      <c r="D53" s="30">
        <f t="shared" si="9"/>
        <v>917046</v>
      </c>
      <c r="E53" s="30">
        <f t="shared" si="9"/>
        <v>275368</v>
      </c>
      <c r="F53" s="197">
        <f t="shared" si="7"/>
        <v>30.027719438283356</v>
      </c>
    </row>
    <row r="54" spans="2:6" ht="15.95" customHeight="1" x14ac:dyDescent="0.2">
      <c r="B54" s="13" t="s">
        <v>42</v>
      </c>
      <c r="C54" s="186"/>
      <c r="D54" s="186"/>
      <c r="E54" s="12"/>
      <c r="F54" s="193"/>
    </row>
    <row r="55" spans="2:6" ht="15.95" customHeight="1" x14ac:dyDescent="0.2">
      <c r="B55" s="13" t="s">
        <v>43</v>
      </c>
      <c r="C55" s="186">
        <v>39200</v>
      </c>
      <c r="D55" s="186">
        <v>40300</v>
      </c>
      <c r="E55" s="12">
        <v>519</v>
      </c>
      <c r="F55" s="193">
        <f t="shared" si="7"/>
        <v>1.2878411910669973</v>
      </c>
    </row>
    <row r="56" spans="2:6" ht="15.95" customHeight="1" x14ac:dyDescent="0.2">
      <c r="B56" s="13" t="s">
        <v>44</v>
      </c>
      <c r="C56" s="186">
        <v>44000</v>
      </c>
      <c r="D56" s="186">
        <v>45500</v>
      </c>
      <c r="E56" s="12">
        <v>4049</v>
      </c>
      <c r="F56" s="193">
        <f t="shared" si="7"/>
        <v>8.8989010989010993</v>
      </c>
    </row>
    <row r="57" spans="2:6" ht="15.95" customHeight="1" x14ac:dyDescent="0.2">
      <c r="B57" s="13" t="s">
        <v>45</v>
      </c>
      <c r="C57" s="186">
        <v>50000</v>
      </c>
      <c r="D57" s="186">
        <v>50000</v>
      </c>
      <c r="E57" s="12">
        <v>44668</v>
      </c>
      <c r="F57" s="193">
        <f t="shared" si="7"/>
        <v>89.335999999999999</v>
      </c>
    </row>
    <row r="58" spans="2:6" ht="15.95" customHeight="1" x14ac:dyDescent="0.2">
      <c r="B58" s="13" t="s">
        <v>46</v>
      </c>
      <c r="C58" s="186">
        <v>777246</v>
      </c>
      <c r="D58" s="186">
        <v>781246</v>
      </c>
      <c r="E58" s="12">
        <v>226132</v>
      </c>
      <c r="F58" s="193">
        <f t="shared" si="7"/>
        <v>28.945044198626295</v>
      </c>
    </row>
    <row r="59" spans="2:6" ht="15.95" customHeight="1" x14ac:dyDescent="0.2">
      <c r="B59" s="13"/>
      <c r="C59" s="186"/>
      <c r="D59" s="186"/>
      <c r="E59" s="12"/>
      <c r="F59" s="193"/>
    </row>
    <row r="60" spans="2:6" ht="21" customHeight="1" x14ac:dyDescent="0.2">
      <c r="B60" s="29" t="s">
        <v>47</v>
      </c>
      <c r="C60" s="30">
        <f>SUM(C62:C63)</f>
        <v>1709093</v>
      </c>
      <c r="D60" s="30">
        <f>SUM(D62:D64)</f>
        <v>2879850</v>
      </c>
      <c r="E60" s="30">
        <f>SUM(E62:E66)</f>
        <v>3295828</v>
      </c>
      <c r="F60" s="197">
        <f t="shared" si="7"/>
        <v>114.44443286976752</v>
      </c>
    </row>
    <row r="61" spans="2:6" ht="15.95" customHeight="1" x14ac:dyDescent="0.2">
      <c r="B61" s="13" t="s">
        <v>48</v>
      </c>
      <c r="C61" s="186"/>
      <c r="D61" s="186"/>
      <c r="E61" s="12"/>
      <c r="F61" s="193"/>
    </row>
    <row r="62" spans="2:6" ht="15.95" customHeight="1" x14ac:dyDescent="0.2">
      <c r="B62" s="13" t="s">
        <v>49</v>
      </c>
      <c r="C62" s="186">
        <v>1709093</v>
      </c>
      <c r="D62" s="186">
        <v>1585604</v>
      </c>
      <c r="E62" s="12">
        <v>1495466</v>
      </c>
      <c r="F62" s="193">
        <f t="shared" si="7"/>
        <v>94.315226248167889</v>
      </c>
    </row>
    <row r="63" spans="2:6" ht="15.95" customHeight="1" x14ac:dyDescent="0.2">
      <c r="B63" s="31" t="s">
        <v>50</v>
      </c>
      <c r="C63" s="186">
        <v>0</v>
      </c>
      <c r="D63" s="186">
        <v>268286</v>
      </c>
      <c r="E63" s="12">
        <v>539132</v>
      </c>
      <c r="F63" s="193">
        <f t="shared" si="7"/>
        <v>200.95420558657554</v>
      </c>
    </row>
    <row r="64" spans="2:6" ht="15.95" customHeight="1" x14ac:dyDescent="0.2">
      <c r="B64" s="32" t="s">
        <v>51</v>
      </c>
      <c r="C64" s="191">
        <v>0</v>
      </c>
      <c r="D64" s="191">
        <v>1025960</v>
      </c>
      <c r="E64" s="33">
        <v>1025960</v>
      </c>
      <c r="F64" s="201">
        <f t="shared" si="7"/>
        <v>100</v>
      </c>
    </row>
    <row r="65" spans="2:6" ht="15.95" customHeight="1" x14ac:dyDescent="0.2">
      <c r="B65" s="13" t="s">
        <v>251</v>
      </c>
      <c r="C65" s="191"/>
      <c r="D65" s="191"/>
      <c r="E65" s="33">
        <v>167347</v>
      </c>
      <c r="F65" s="201"/>
    </row>
    <row r="66" spans="2:6" ht="15.95" customHeight="1" x14ac:dyDescent="0.2">
      <c r="B66" s="31" t="s">
        <v>252</v>
      </c>
      <c r="C66" s="191"/>
      <c r="D66" s="191"/>
      <c r="E66" s="33">
        <v>67923</v>
      </c>
      <c r="F66" s="201"/>
    </row>
    <row r="67" spans="2:6" ht="15.95" customHeight="1" x14ac:dyDescent="0.2">
      <c r="B67" s="31"/>
      <c r="C67" s="191"/>
      <c r="D67" s="191"/>
      <c r="E67" s="33"/>
      <c r="F67" s="201"/>
    </row>
    <row r="68" spans="2:6" ht="23.1" customHeight="1" thickBot="1" x14ac:dyDescent="0.25">
      <c r="B68" s="34" t="s">
        <v>52</v>
      </c>
      <c r="C68" s="35">
        <f>SUM(C5+C53+C60)</f>
        <v>43965819</v>
      </c>
      <c r="D68" s="35">
        <f>SUM(D5+D53+D60)</f>
        <v>48793299</v>
      </c>
      <c r="E68" s="35">
        <f>SUM(E5+E53+E60)</f>
        <v>51805450</v>
      </c>
      <c r="F68" s="198">
        <f t="shared" si="7"/>
        <v>106.1732882623903</v>
      </c>
    </row>
    <row r="69" spans="2:6" ht="16.7" customHeight="1" x14ac:dyDescent="0.2">
      <c r="D69" s="2"/>
      <c r="E69" s="129"/>
      <c r="F69" s="129"/>
    </row>
  </sheetData>
  <sheetProtection sheet="1" objects="1" scenarios="1"/>
  <mergeCells count="5">
    <mergeCell ref="B1:F1"/>
    <mergeCell ref="B2:F2"/>
    <mergeCell ref="B3:C3"/>
    <mergeCell ref="B34:F34"/>
    <mergeCell ref="B35:F35"/>
  </mergeCells>
  <pageMargins left="0.19685039370078741" right="0.19685039370078741" top="0.19685039370078741" bottom="0.19685039370078741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"/>
  <sheetViews>
    <sheetView tabSelected="1" topLeftCell="A115" zoomScale="70" zoomScaleNormal="70" workbookViewId="0">
      <selection activeCell="H157" sqref="H157"/>
    </sheetView>
  </sheetViews>
  <sheetFormatPr defaultColWidth="10.28515625" defaultRowHeight="14.25" x14ac:dyDescent="0.2"/>
  <cols>
    <col min="1" max="3" width="3.7109375" style="36" customWidth="1"/>
    <col min="4" max="4" width="51.7109375" style="36" customWidth="1"/>
    <col min="5" max="10" width="13.7109375" style="36" customWidth="1"/>
    <col min="11" max="12" width="12.7109375" style="36" customWidth="1"/>
    <col min="13" max="16384" width="10.28515625" style="36"/>
  </cols>
  <sheetData>
    <row r="1" spans="1:12" ht="27.75" customHeight="1" x14ac:dyDescent="0.35">
      <c r="A1" s="576" t="s">
        <v>245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</row>
    <row r="2" spans="1:12" ht="27.75" customHeight="1" x14ac:dyDescent="0.35">
      <c r="A2" s="271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</row>
    <row r="3" spans="1:12" ht="29.25" customHeight="1" thickBot="1" x14ac:dyDescent="0.25">
      <c r="A3" s="38"/>
      <c r="B3" s="38"/>
      <c r="C3" s="38"/>
      <c r="D3" s="575"/>
      <c r="E3" s="575"/>
      <c r="F3" s="575"/>
      <c r="G3" s="39"/>
      <c r="H3" s="40"/>
      <c r="I3" s="39"/>
      <c r="J3" s="40"/>
      <c r="K3" s="39"/>
      <c r="L3" s="40" t="s">
        <v>54</v>
      </c>
    </row>
    <row r="4" spans="1:12" ht="34.15" customHeight="1" thickBot="1" x14ac:dyDescent="0.25">
      <c r="A4" s="577" t="s">
        <v>55</v>
      </c>
      <c r="B4" s="578"/>
      <c r="C4" s="579"/>
      <c r="D4" s="583" t="s">
        <v>56</v>
      </c>
      <c r="E4" s="585" t="s">
        <v>53</v>
      </c>
      <c r="F4" s="586"/>
      <c r="G4" s="585" t="s">
        <v>244</v>
      </c>
      <c r="H4" s="586"/>
      <c r="I4" s="585" t="s">
        <v>246</v>
      </c>
      <c r="J4" s="586"/>
      <c r="K4" s="585" t="s">
        <v>238</v>
      </c>
      <c r="L4" s="586"/>
    </row>
    <row r="5" spans="1:12" ht="34.15" customHeight="1" thickBot="1" x14ac:dyDescent="0.25">
      <c r="A5" s="580"/>
      <c r="B5" s="581"/>
      <c r="C5" s="582"/>
      <c r="D5" s="584"/>
      <c r="E5" s="41" t="s">
        <v>57</v>
      </c>
      <c r="F5" s="42" t="s">
        <v>58</v>
      </c>
      <c r="G5" s="41" t="s">
        <v>57</v>
      </c>
      <c r="H5" s="42" t="s">
        <v>58</v>
      </c>
      <c r="I5" s="41" t="s">
        <v>57</v>
      </c>
      <c r="J5" s="42" t="s">
        <v>58</v>
      </c>
      <c r="K5" s="41" t="s">
        <v>57</v>
      </c>
      <c r="L5" s="42" t="s">
        <v>58</v>
      </c>
    </row>
    <row r="6" spans="1:12" ht="17.100000000000001" customHeight="1" x14ac:dyDescent="0.25">
      <c r="A6" s="43" t="s">
        <v>59</v>
      </c>
      <c r="B6" s="44"/>
      <c r="C6" s="45"/>
      <c r="D6" s="46" t="s">
        <v>60</v>
      </c>
      <c r="E6" s="47"/>
      <c r="F6" s="48"/>
      <c r="G6" s="47"/>
      <c r="H6" s="48"/>
      <c r="I6" s="47"/>
      <c r="J6" s="48"/>
      <c r="K6" s="47"/>
      <c r="L6" s="48"/>
    </row>
    <row r="7" spans="1:12" s="56" customFormat="1" ht="17.100000000000001" customHeight="1" x14ac:dyDescent="0.25">
      <c r="A7" s="49"/>
      <c r="B7" s="50">
        <v>1</v>
      </c>
      <c r="C7" s="51"/>
      <c r="D7" s="52" t="s">
        <v>61</v>
      </c>
      <c r="E7" s="214">
        <v>392030</v>
      </c>
      <c r="F7" s="215">
        <v>0</v>
      </c>
      <c r="G7" s="214">
        <v>241797</v>
      </c>
      <c r="H7" s="215">
        <v>0</v>
      </c>
      <c r="I7" s="53">
        <v>209831</v>
      </c>
      <c r="J7" s="54">
        <v>0</v>
      </c>
      <c r="K7" s="212">
        <f>I7/G7*100</f>
        <v>86.779819435311438</v>
      </c>
      <c r="L7" s="208"/>
    </row>
    <row r="8" spans="1:12" s="56" customFormat="1" ht="17.100000000000001" customHeight="1" x14ac:dyDescent="0.25">
      <c r="A8" s="49"/>
      <c r="B8" s="50">
        <v>2</v>
      </c>
      <c r="C8" s="51"/>
      <c r="D8" s="52" t="s">
        <v>62</v>
      </c>
      <c r="E8" s="214"/>
      <c r="F8" s="215"/>
      <c r="G8" s="214"/>
      <c r="H8" s="215"/>
      <c r="I8" s="53"/>
      <c r="J8" s="54"/>
      <c r="K8" s="212"/>
      <c r="L8" s="208"/>
    </row>
    <row r="9" spans="1:12" s="56" customFormat="1" ht="17.100000000000001" customHeight="1" x14ac:dyDescent="0.25">
      <c r="A9" s="49"/>
      <c r="B9" s="50"/>
      <c r="C9" s="51" t="s">
        <v>59</v>
      </c>
      <c r="D9" s="52" t="s">
        <v>63</v>
      </c>
      <c r="E9" s="214">
        <v>87614</v>
      </c>
      <c r="F9" s="215">
        <v>0</v>
      </c>
      <c r="G9" s="214">
        <v>87614</v>
      </c>
      <c r="H9" s="215">
        <v>0</v>
      </c>
      <c r="I9" s="53">
        <v>74131</v>
      </c>
      <c r="J9" s="54">
        <v>0</v>
      </c>
      <c r="K9" s="212">
        <f t="shared" ref="K9:L33" si="0">I9/G9*100</f>
        <v>84.610906932681999</v>
      </c>
      <c r="L9" s="208"/>
    </row>
    <row r="10" spans="1:12" s="56" customFormat="1" ht="17.100000000000001" customHeight="1" x14ac:dyDescent="0.25">
      <c r="A10" s="49"/>
      <c r="B10" s="50"/>
      <c r="C10" s="51" t="s">
        <v>64</v>
      </c>
      <c r="D10" s="52" t="s">
        <v>65</v>
      </c>
      <c r="E10" s="214">
        <v>90440</v>
      </c>
      <c r="F10" s="215">
        <v>0</v>
      </c>
      <c r="G10" s="214">
        <v>90440</v>
      </c>
      <c r="H10" s="215">
        <v>0</v>
      </c>
      <c r="I10" s="53">
        <v>73963</v>
      </c>
      <c r="J10" s="54">
        <v>0</v>
      </c>
      <c r="K10" s="212">
        <f t="shared" si="0"/>
        <v>81.781291463953991</v>
      </c>
      <c r="L10" s="208"/>
    </row>
    <row r="11" spans="1:12" s="56" customFormat="1" ht="17.100000000000001" customHeight="1" x14ac:dyDescent="0.25">
      <c r="A11" s="49"/>
      <c r="B11" s="50"/>
      <c r="C11" s="51" t="s">
        <v>66</v>
      </c>
      <c r="D11" s="52" t="s">
        <v>67</v>
      </c>
      <c r="E11" s="214">
        <v>4930</v>
      </c>
      <c r="F11" s="215">
        <v>0</v>
      </c>
      <c r="G11" s="214">
        <v>4930</v>
      </c>
      <c r="H11" s="215">
        <v>0</v>
      </c>
      <c r="I11" s="53">
        <v>2331</v>
      </c>
      <c r="J11" s="54">
        <v>0</v>
      </c>
      <c r="K11" s="212">
        <f t="shared" si="0"/>
        <v>47.281947261663291</v>
      </c>
      <c r="L11" s="208"/>
    </row>
    <row r="12" spans="1:12" s="57" customFormat="1" ht="17.100000000000001" customHeight="1" x14ac:dyDescent="0.25">
      <c r="A12" s="49"/>
      <c r="B12" s="50">
        <v>3</v>
      </c>
      <c r="C12" s="51"/>
      <c r="D12" s="52" t="s">
        <v>68</v>
      </c>
      <c r="E12" s="214">
        <v>62353</v>
      </c>
      <c r="F12" s="215">
        <v>0</v>
      </c>
      <c r="G12" s="214">
        <v>66869</v>
      </c>
      <c r="H12" s="215">
        <v>0</v>
      </c>
      <c r="I12" s="53">
        <v>65787</v>
      </c>
      <c r="J12" s="54">
        <v>0</v>
      </c>
      <c r="K12" s="212">
        <f t="shared" si="0"/>
        <v>98.381910900417239</v>
      </c>
      <c r="L12" s="208"/>
    </row>
    <row r="13" spans="1:12" s="56" customFormat="1" ht="17.100000000000001" customHeight="1" x14ac:dyDescent="0.25">
      <c r="A13" s="49"/>
      <c r="B13" s="50">
        <v>4</v>
      </c>
      <c r="C13" s="51"/>
      <c r="D13" s="52" t="s">
        <v>69</v>
      </c>
      <c r="E13" s="214">
        <v>37999</v>
      </c>
      <c r="F13" s="215">
        <v>39150</v>
      </c>
      <c r="G13" s="214">
        <v>75303</v>
      </c>
      <c r="H13" s="215">
        <v>0</v>
      </c>
      <c r="I13" s="53">
        <v>40464</v>
      </c>
      <c r="J13" s="54">
        <v>0</v>
      </c>
      <c r="K13" s="212">
        <f t="shared" si="0"/>
        <v>53.734910959722711</v>
      </c>
      <c r="L13" s="208"/>
    </row>
    <row r="14" spans="1:12" ht="17.100000000000001" customHeight="1" x14ac:dyDescent="0.25">
      <c r="A14" s="49"/>
      <c r="B14" s="50">
        <v>5</v>
      </c>
      <c r="C14" s="51"/>
      <c r="D14" s="52" t="s">
        <v>70</v>
      </c>
      <c r="E14" s="214">
        <v>200000</v>
      </c>
      <c r="F14" s="215">
        <v>0</v>
      </c>
      <c r="G14" s="214">
        <v>180000</v>
      </c>
      <c r="H14" s="215">
        <v>0</v>
      </c>
      <c r="I14" s="53">
        <v>172297</v>
      </c>
      <c r="J14" s="54">
        <v>0</v>
      </c>
      <c r="K14" s="212">
        <f t="shared" si="0"/>
        <v>95.720555555555549</v>
      </c>
      <c r="L14" s="208"/>
    </row>
    <row r="15" spans="1:12" ht="18" customHeight="1" x14ac:dyDescent="0.25">
      <c r="A15" s="58" t="s">
        <v>59</v>
      </c>
      <c r="B15" s="59"/>
      <c r="C15" s="60"/>
      <c r="D15" s="61" t="s">
        <v>71</v>
      </c>
      <c r="E15" s="62">
        <f t="shared" ref="E15:F15" si="1">SUM(E6:E14)</f>
        <v>875366</v>
      </c>
      <c r="F15" s="63">
        <f t="shared" si="1"/>
        <v>39150</v>
      </c>
      <c r="G15" s="62">
        <f t="shared" ref="G15:J15" si="2">SUM(G6:G14)</f>
        <v>746953</v>
      </c>
      <c r="H15" s="63">
        <f t="shared" si="2"/>
        <v>0</v>
      </c>
      <c r="I15" s="62">
        <f t="shared" si="2"/>
        <v>638804</v>
      </c>
      <c r="J15" s="63">
        <f t="shared" si="2"/>
        <v>0</v>
      </c>
      <c r="K15" s="202">
        <f t="shared" si="0"/>
        <v>85.521311247160128</v>
      </c>
      <c r="L15" s="203"/>
    </row>
    <row r="16" spans="1:12" ht="17.100000000000001" customHeight="1" x14ac:dyDescent="0.25">
      <c r="A16" s="64" t="s">
        <v>64</v>
      </c>
      <c r="B16" s="65"/>
      <c r="C16" s="66"/>
      <c r="D16" s="67" t="s">
        <v>72</v>
      </c>
      <c r="E16" s="68"/>
      <c r="F16" s="69"/>
      <c r="G16" s="68"/>
      <c r="H16" s="69"/>
      <c r="I16" s="68"/>
      <c r="J16" s="69"/>
      <c r="K16" s="204"/>
      <c r="L16" s="205"/>
    </row>
    <row r="17" spans="1:12" ht="17.100000000000001" customHeight="1" x14ac:dyDescent="0.25">
      <c r="A17" s="49"/>
      <c r="B17" s="50">
        <v>1</v>
      </c>
      <c r="C17" s="51"/>
      <c r="D17" s="52" t="s">
        <v>73</v>
      </c>
      <c r="E17" s="214">
        <v>185000</v>
      </c>
      <c r="F17" s="215">
        <v>53000</v>
      </c>
      <c r="G17" s="214">
        <v>288355</v>
      </c>
      <c r="H17" s="215">
        <v>48842</v>
      </c>
      <c r="I17" s="53">
        <v>229317</v>
      </c>
      <c r="J17" s="54">
        <v>48821</v>
      </c>
      <c r="K17" s="212">
        <f t="shared" si="0"/>
        <v>79.525931577395909</v>
      </c>
      <c r="L17" s="208">
        <f t="shared" si="0"/>
        <v>99.957004217681501</v>
      </c>
    </row>
    <row r="18" spans="1:12" s="70" customFormat="1" ht="17.100000000000001" customHeight="1" x14ac:dyDescent="0.25">
      <c r="A18" s="49"/>
      <c r="B18" s="50">
        <v>2</v>
      </c>
      <c r="C18" s="51"/>
      <c r="D18" s="52" t="s">
        <v>74</v>
      </c>
      <c r="E18" s="214">
        <v>6155957</v>
      </c>
      <c r="F18" s="215">
        <v>0</v>
      </c>
      <c r="G18" s="214">
        <v>7890309</v>
      </c>
      <c r="H18" s="215">
        <v>0</v>
      </c>
      <c r="I18" s="53">
        <v>7093902</v>
      </c>
      <c r="J18" s="54">
        <v>0</v>
      </c>
      <c r="K18" s="212">
        <f t="shared" si="0"/>
        <v>89.906516969107301</v>
      </c>
      <c r="L18" s="208"/>
    </row>
    <row r="19" spans="1:12" ht="18" customHeight="1" x14ac:dyDescent="0.25">
      <c r="A19" s="58" t="s">
        <v>64</v>
      </c>
      <c r="B19" s="59"/>
      <c r="C19" s="60"/>
      <c r="D19" s="61" t="s">
        <v>75</v>
      </c>
      <c r="E19" s="62">
        <f t="shared" ref="E19:F19" si="3">SUM(E17:E18)</f>
        <v>6340957</v>
      </c>
      <c r="F19" s="63">
        <f t="shared" si="3"/>
        <v>53000</v>
      </c>
      <c r="G19" s="62">
        <f t="shared" ref="G19:J19" si="4">SUM(G17:G18)</f>
        <v>8178664</v>
      </c>
      <c r="H19" s="63">
        <f t="shared" si="4"/>
        <v>48842</v>
      </c>
      <c r="I19" s="62">
        <f t="shared" si="4"/>
        <v>7323219</v>
      </c>
      <c r="J19" s="63">
        <f t="shared" si="4"/>
        <v>48821</v>
      </c>
      <c r="K19" s="202">
        <f t="shared" si="0"/>
        <v>89.540528868773677</v>
      </c>
      <c r="L19" s="203">
        <f t="shared" si="0"/>
        <v>99.957004217681501</v>
      </c>
    </row>
    <row r="20" spans="1:12" ht="17.100000000000001" customHeight="1" x14ac:dyDescent="0.25">
      <c r="A20" s="64" t="s">
        <v>66</v>
      </c>
      <c r="B20" s="65"/>
      <c r="C20" s="66"/>
      <c r="D20" s="67" t="s">
        <v>76</v>
      </c>
      <c r="E20" s="68"/>
      <c r="F20" s="69"/>
      <c r="G20" s="68"/>
      <c r="H20" s="69"/>
      <c r="I20" s="68"/>
      <c r="J20" s="69"/>
      <c r="K20" s="204"/>
      <c r="L20" s="205"/>
    </row>
    <row r="21" spans="1:12" ht="17.100000000000001" customHeight="1" x14ac:dyDescent="0.25">
      <c r="A21" s="49"/>
      <c r="B21" s="50">
        <v>1</v>
      </c>
      <c r="C21" s="51"/>
      <c r="D21" s="52" t="s">
        <v>77</v>
      </c>
      <c r="E21" s="214">
        <v>18313</v>
      </c>
      <c r="F21" s="215">
        <v>0</v>
      </c>
      <c r="G21" s="214">
        <v>25313</v>
      </c>
      <c r="H21" s="215">
        <v>0</v>
      </c>
      <c r="I21" s="53">
        <v>24572</v>
      </c>
      <c r="J21" s="54">
        <v>0</v>
      </c>
      <c r="K21" s="212">
        <f t="shared" si="0"/>
        <v>97.072650416781897</v>
      </c>
      <c r="L21" s="208"/>
    </row>
    <row r="22" spans="1:12" ht="17.100000000000001" customHeight="1" x14ac:dyDescent="0.25">
      <c r="A22" s="49"/>
      <c r="B22" s="50">
        <v>2</v>
      </c>
      <c r="C22" s="51"/>
      <c r="D22" s="52" t="s">
        <v>78</v>
      </c>
      <c r="E22" s="214">
        <v>6476</v>
      </c>
      <c r="F22" s="215">
        <v>0</v>
      </c>
      <c r="G22" s="214">
        <v>6476</v>
      </c>
      <c r="H22" s="215">
        <v>0</v>
      </c>
      <c r="I22" s="53">
        <v>4557</v>
      </c>
      <c r="J22" s="54">
        <v>0</v>
      </c>
      <c r="K22" s="212">
        <f t="shared" si="0"/>
        <v>70.367510809141436</v>
      </c>
      <c r="L22" s="208"/>
    </row>
    <row r="23" spans="1:12" ht="17.100000000000001" customHeight="1" x14ac:dyDescent="0.25">
      <c r="A23" s="49"/>
      <c r="B23" s="50">
        <v>3</v>
      </c>
      <c r="C23" s="51"/>
      <c r="D23" s="52" t="s">
        <v>79</v>
      </c>
      <c r="E23" s="214">
        <v>17000</v>
      </c>
      <c r="F23" s="215">
        <v>0</v>
      </c>
      <c r="G23" s="214">
        <v>17000</v>
      </c>
      <c r="H23" s="215">
        <v>0</v>
      </c>
      <c r="I23" s="53">
        <v>12496</v>
      </c>
      <c r="J23" s="54">
        <v>0</v>
      </c>
      <c r="K23" s="212">
        <f t="shared" si="0"/>
        <v>73.505882352941171</v>
      </c>
      <c r="L23" s="208"/>
    </row>
    <row r="24" spans="1:12" ht="17.100000000000001" customHeight="1" x14ac:dyDescent="0.25">
      <c r="A24" s="49"/>
      <c r="B24" s="50">
        <v>4</v>
      </c>
      <c r="C24" s="51"/>
      <c r="D24" s="52" t="s">
        <v>80</v>
      </c>
      <c r="E24" s="214">
        <v>143000</v>
      </c>
      <c r="F24" s="215">
        <v>0</v>
      </c>
      <c r="G24" s="214">
        <v>143567</v>
      </c>
      <c r="H24" s="215">
        <v>0</v>
      </c>
      <c r="I24" s="53">
        <v>137198</v>
      </c>
      <c r="J24" s="54">
        <v>0</v>
      </c>
      <c r="K24" s="212">
        <f t="shared" si="0"/>
        <v>95.563743757270132</v>
      </c>
      <c r="L24" s="208"/>
    </row>
    <row r="25" spans="1:12" s="70" customFormat="1" ht="18" customHeight="1" x14ac:dyDescent="0.25">
      <c r="A25" s="58" t="s">
        <v>66</v>
      </c>
      <c r="B25" s="59"/>
      <c r="C25" s="60"/>
      <c r="D25" s="61" t="s">
        <v>81</v>
      </c>
      <c r="E25" s="62">
        <f t="shared" ref="E25:J25" si="5">SUM(E21:E24)</f>
        <v>184789</v>
      </c>
      <c r="F25" s="63">
        <f t="shared" si="5"/>
        <v>0</v>
      </c>
      <c r="G25" s="62">
        <f t="shared" si="5"/>
        <v>192356</v>
      </c>
      <c r="H25" s="63">
        <f t="shared" si="5"/>
        <v>0</v>
      </c>
      <c r="I25" s="62">
        <f t="shared" si="5"/>
        <v>178823</v>
      </c>
      <c r="J25" s="63">
        <f t="shared" si="5"/>
        <v>0</v>
      </c>
      <c r="K25" s="202">
        <f t="shared" si="0"/>
        <v>92.964607290648587</v>
      </c>
      <c r="L25" s="203"/>
    </row>
    <row r="26" spans="1:12" ht="17.100000000000001" customHeight="1" x14ac:dyDescent="0.25">
      <c r="A26" s="64" t="s">
        <v>82</v>
      </c>
      <c r="B26" s="65"/>
      <c r="C26" s="66"/>
      <c r="D26" s="67" t="s">
        <v>83</v>
      </c>
      <c r="E26" s="68"/>
      <c r="F26" s="69"/>
      <c r="G26" s="68"/>
      <c r="H26" s="69"/>
      <c r="I26" s="68"/>
      <c r="J26" s="69"/>
      <c r="K26" s="204"/>
      <c r="L26" s="205"/>
    </row>
    <row r="27" spans="1:12" s="56" customFormat="1" ht="17.100000000000001" customHeight="1" x14ac:dyDescent="0.25">
      <c r="A27" s="49"/>
      <c r="B27" s="50">
        <v>1</v>
      </c>
      <c r="C27" s="51"/>
      <c r="D27" s="52" t="s">
        <v>84</v>
      </c>
      <c r="E27" s="214"/>
      <c r="F27" s="215"/>
      <c r="G27" s="214"/>
      <c r="H27" s="215"/>
      <c r="I27" s="53"/>
      <c r="J27" s="54"/>
      <c r="K27" s="212"/>
      <c r="L27" s="208"/>
    </row>
    <row r="28" spans="1:12" ht="17.100000000000001" customHeight="1" x14ac:dyDescent="0.25">
      <c r="A28" s="49"/>
      <c r="B28" s="50"/>
      <c r="C28" s="51" t="s">
        <v>59</v>
      </c>
      <c r="D28" s="52" t="s">
        <v>85</v>
      </c>
      <c r="E28" s="214">
        <v>739140</v>
      </c>
      <c r="F28" s="215">
        <v>100000</v>
      </c>
      <c r="G28" s="214">
        <v>348022</v>
      </c>
      <c r="H28" s="215">
        <v>109960</v>
      </c>
      <c r="I28" s="53">
        <v>224646</v>
      </c>
      <c r="J28" s="54">
        <v>102415</v>
      </c>
      <c r="K28" s="212">
        <f t="shared" si="0"/>
        <v>64.549367568716917</v>
      </c>
      <c r="L28" s="208">
        <f t="shared" si="0"/>
        <v>93.138413968715895</v>
      </c>
    </row>
    <row r="29" spans="1:12" ht="17.100000000000001" customHeight="1" x14ac:dyDescent="0.25">
      <c r="A29" s="49"/>
      <c r="B29" s="50"/>
      <c r="C29" s="51" t="s">
        <v>64</v>
      </c>
      <c r="D29" s="52" t="s">
        <v>86</v>
      </c>
      <c r="E29" s="214">
        <v>50000</v>
      </c>
      <c r="F29" s="215">
        <v>0</v>
      </c>
      <c r="G29" s="214">
        <v>33165</v>
      </c>
      <c r="H29" s="215">
        <v>0</v>
      </c>
      <c r="I29" s="53">
        <v>42</v>
      </c>
      <c r="J29" s="54">
        <v>0</v>
      </c>
      <c r="K29" s="212">
        <f t="shared" si="0"/>
        <v>0.12663952962460426</v>
      </c>
      <c r="L29" s="208"/>
    </row>
    <row r="30" spans="1:12" ht="17.100000000000001" customHeight="1" x14ac:dyDescent="0.25">
      <c r="A30" s="49"/>
      <c r="B30" s="50"/>
      <c r="C30" s="51" t="s">
        <v>66</v>
      </c>
      <c r="D30" s="52" t="s">
        <v>87</v>
      </c>
      <c r="E30" s="214">
        <v>15000</v>
      </c>
      <c r="F30" s="215">
        <v>145000</v>
      </c>
      <c r="G30" s="214">
        <v>0</v>
      </c>
      <c r="H30" s="215">
        <v>73200</v>
      </c>
      <c r="I30" s="53">
        <v>0</v>
      </c>
      <c r="J30" s="54">
        <v>5352</v>
      </c>
      <c r="K30" s="212"/>
      <c r="L30" s="208">
        <f t="shared" si="0"/>
        <v>7.3114754098360653</v>
      </c>
    </row>
    <row r="31" spans="1:12" ht="17.100000000000001" customHeight="1" x14ac:dyDescent="0.25">
      <c r="A31" s="49"/>
      <c r="B31" s="50"/>
      <c r="C31" s="51" t="s">
        <v>82</v>
      </c>
      <c r="D31" s="52" t="s">
        <v>88</v>
      </c>
      <c r="E31" s="214">
        <v>15000</v>
      </c>
      <c r="F31" s="215">
        <v>0</v>
      </c>
      <c r="G31" s="214">
        <v>7600</v>
      </c>
      <c r="H31" s="215">
        <v>0</v>
      </c>
      <c r="I31" s="53">
        <v>42</v>
      </c>
      <c r="J31" s="54">
        <v>0</v>
      </c>
      <c r="K31" s="212">
        <f t="shared" si="0"/>
        <v>0.55263157894736836</v>
      </c>
      <c r="L31" s="208"/>
    </row>
    <row r="32" spans="1:12" ht="17.100000000000001" customHeight="1" x14ac:dyDescent="0.25">
      <c r="A32" s="49"/>
      <c r="B32" s="50"/>
      <c r="C32" s="51" t="s">
        <v>89</v>
      </c>
      <c r="D32" s="52" t="s">
        <v>90</v>
      </c>
      <c r="E32" s="214">
        <v>110000</v>
      </c>
      <c r="F32" s="215">
        <v>20000</v>
      </c>
      <c r="G32" s="214">
        <v>94847</v>
      </c>
      <c r="H32" s="215">
        <v>23938</v>
      </c>
      <c r="I32" s="53">
        <v>74246</v>
      </c>
      <c r="J32" s="54">
        <v>15938</v>
      </c>
      <c r="K32" s="212">
        <f t="shared" si="0"/>
        <v>78.279755817263592</v>
      </c>
      <c r="L32" s="208">
        <f t="shared" si="0"/>
        <v>66.580332525691361</v>
      </c>
    </row>
    <row r="33" spans="1:12" ht="18" customHeight="1" thickBot="1" x14ac:dyDescent="0.3">
      <c r="A33" s="71" t="s">
        <v>82</v>
      </c>
      <c r="B33" s="72"/>
      <c r="C33" s="73"/>
      <c r="D33" s="74" t="s">
        <v>91</v>
      </c>
      <c r="E33" s="75">
        <f t="shared" ref="E33:J33" si="6">SUM(E28:E32)</f>
        <v>929140</v>
      </c>
      <c r="F33" s="76">
        <f t="shared" si="6"/>
        <v>265000</v>
      </c>
      <c r="G33" s="75">
        <f t="shared" si="6"/>
        <v>483634</v>
      </c>
      <c r="H33" s="76">
        <f t="shared" si="6"/>
        <v>207098</v>
      </c>
      <c r="I33" s="75">
        <f t="shared" si="6"/>
        <v>298976</v>
      </c>
      <c r="J33" s="76">
        <f t="shared" si="6"/>
        <v>123705</v>
      </c>
      <c r="K33" s="206">
        <f t="shared" si="0"/>
        <v>61.818647985873618</v>
      </c>
      <c r="L33" s="207">
        <f t="shared" si="0"/>
        <v>59.732590367845177</v>
      </c>
    </row>
    <row r="34" spans="1:12" s="81" customFormat="1" ht="16.149999999999999" customHeight="1" thickTop="1" x14ac:dyDescent="0.25">
      <c r="A34" s="77"/>
      <c r="B34" s="78"/>
      <c r="C34" s="77"/>
      <c r="D34" s="79"/>
      <c r="E34" s="80"/>
      <c r="F34" s="80"/>
      <c r="G34" s="80"/>
      <c r="H34" s="80"/>
      <c r="I34" s="80"/>
      <c r="J34" s="80"/>
      <c r="K34" s="80"/>
      <c r="L34" s="80"/>
    </row>
    <row r="35" spans="1:12" s="81" customFormat="1" ht="22.15" customHeight="1" x14ac:dyDescent="0.35">
      <c r="A35" s="576" t="s">
        <v>245</v>
      </c>
      <c r="B35" s="576"/>
      <c r="C35" s="576"/>
      <c r="D35" s="576"/>
      <c r="E35" s="576"/>
      <c r="F35" s="576"/>
      <c r="G35" s="576"/>
      <c r="H35" s="576"/>
      <c r="I35" s="576"/>
      <c r="J35" s="576"/>
      <c r="K35" s="576"/>
      <c r="L35" s="576"/>
    </row>
    <row r="36" spans="1:12" s="81" customFormat="1" ht="27" customHeight="1" thickBot="1" x14ac:dyDescent="0.3">
      <c r="A36" s="77"/>
      <c r="B36" s="78"/>
      <c r="C36" s="77"/>
      <c r="D36" s="79"/>
      <c r="E36" s="82"/>
      <c r="F36" s="82"/>
      <c r="G36" s="82"/>
      <c r="H36" s="40"/>
      <c r="I36" s="82"/>
      <c r="J36" s="40"/>
      <c r="K36" s="82"/>
      <c r="L36" s="40" t="s">
        <v>92</v>
      </c>
    </row>
    <row r="37" spans="1:12" ht="31.15" customHeight="1" thickBot="1" x14ac:dyDescent="0.25">
      <c r="A37" s="577" t="s">
        <v>55</v>
      </c>
      <c r="B37" s="578"/>
      <c r="C37" s="579"/>
      <c r="D37" s="583" t="s">
        <v>56</v>
      </c>
      <c r="E37" s="585" t="s">
        <v>53</v>
      </c>
      <c r="F37" s="586"/>
      <c r="G37" s="585" t="s">
        <v>244</v>
      </c>
      <c r="H37" s="586"/>
      <c r="I37" s="585" t="s">
        <v>246</v>
      </c>
      <c r="J37" s="586"/>
      <c r="K37" s="585" t="s">
        <v>238</v>
      </c>
      <c r="L37" s="586"/>
    </row>
    <row r="38" spans="1:12" ht="31.15" customHeight="1" thickBot="1" x14ac:dyDescent="0.25">
      <c r="A38" s="580"/>
      <c r="B38" s="581"/>
      <c r="C38" s="582"/>
      <c r="D38" s="584"/>
      <c r="E38" s="41" t="s">
        <v>57</v>
      </c>
      <c r="F38" s="42" t="s">
        <v>58</v>
      </c>
      <c r="G38" s="41" t="s">
        <v>57</v>
      </c>
      <c r="H38" s="42" t="s">
        <v>58</v>
      </c>
      <c r="I38" s="41" t="s">
        <v>57</v>
      </c>
      <c r="J38" s="42" t="s">
        <v>58</v>
      </c>
      <c r="K38" s="41" t="s">
        <v>57</v>
      </c>
      <c r="L38" s="42" t="s">
        <v>58</v>
      </c>
    </row>
    <row r="39" spans="1:12" ht="16.5" customHeight="1" x14ac:dyDescent="0.25">
      <c r="A39" s="43" t="s">
        <v>89</v>
      </c>
      <c r="B39" s="44"/>
      <c r="C39" s="45"/>
      <c r="D39" s="46" t="s">
        <v>93</v>
      </c>
      <c r="E39" s="83"/>
      <c r="F39" s="84"/>
      <c r="G39" s="83"/>
      <c r="H39" s="84"/>
      <c r="I39" s="83"/>
      <c r="J39" s="84"/>
      <c r="K39" s="83"/>
      <c r="L39" s="84"/>
    </row>
    <row r="40" spans="1:12" s="56" customFormat="1" ht="16.5" customHeight="1" x14ac:dyDescent="0.25">
      <c r="A40" s="49"/>
      <c r="B40" s="50">
        <v>1</v>
      </c>
      <c r="C40" s="51"/>
      <c r="D40" s="52" t="s">
        <v>94</v>
      </c>
      <c r="E40" s="216"/>
      <c r="F40" s="217"/>
      <c r="G40" s="216"/>
      <c r="H40" s="217"/>
      <c r="I40" s="85"/>
      <c r="J40" s="86"/>
      <c r="K40" s="274"/>
      <c r="L40" s="275"/>
    </row>
    <row r="41" spans="1:12" s="56" customFormat="1" ht="16.5" customHeight="1" x14ac:dyDescent="0.25">
      <c r="A41" s="49"/>
      <c r="B41" s="50"/>
      <c r="C41" s="51" t="s">
        <v>59</v>
      </c>
      <c r="D41" s="52" t="s">
        <v>95</v>
      </c>
      <c r="E41" s="214">
        <v>8271385</v>
      </c>
      <c r="F41" s="215">
        <v>0</v>
      </c>
      <c r="G41" s="214">
        <v>8826132</v>
      </c>
      <c r="H41" s="215">
        <v>33400</v>
      </c>
      <c r="I41" s="53">
        <v>8497804</v>
      </c>
      <c r="J41" s="54">
        <v>32900</v>
      </c>
      <c r="K41" s="212">
        <f t="shared" ref="K41:L71" si="7">I41/G41*100</f>
        <v>96.280046570796813</v>
      </c>
      <c r="L41" s="208">
        <f t="shared" si="7"/>
        <v>98.502994011976057</v>
      </c>
    </row>
    <row r="42" spans="1:12" s="57" customFormat="1" ht="16.5" customHeight="1" x14ac:dyDescent="0.25">
      <c r="A42" s="49"/>
      <c r="B42" s="50"/>
      <c r="C42" s="51" t="s">
        <v>64</v>
      </c>
      <c r="D42" s="52" t="s">
        <v>96</v>
      </c>
      <c r="E42" s="214">
        <v>591100</v>
      </c>
      <c r="F42" s="215">
        <v>0</v>
      </c>
      <c r="G42" s="214">
        <v>515783</v>
      </c>
      <c r="H42" s="215">
        <v>0</v>
      </c>
      <c r="I42" s="53">
        <v>508825</v>
      </c>
      <c r="J42" s="54">
        <v>0</v>
      </c>
      <c r="K42" s="212">
        <f t="shared" si="7"/>
        <v>98.65098306846096</v>
      </c>
      <c r="L42" s="208"/>
    </row>
    <row r="43" spans="1:12" s="56" customFormat="1" ht="16.5" customHeight="1" x14ac:dyDescent="0.25">
      <c r="A43" s="49"/>
      <c r="B43" s="50">
        <v>2</v>
      </c>
      <c r="C43" s="51"/>
      <c r="D43" s="52" t="s">
        <v>97</v>
      </c>
      <c r="E43" s="214"/>
      <c r="F43" s="215"/>
      <c r="G43" s="214"/>
      <c r="H43" s="215"/>
      <c r="I43" s="53"/>
      <c r="J43" s="54"/>
      <c r="K43" s="212"/>
      <c r="L43" s="208"/>
    </row>
    <row r="44" spans="1:12" s="56" customFormat="1" ht="16.5" customHeight="1" x14ac:dyDescent="0.25">
      <c r="A44" s="49"/>
      <c r="B44" s="50"/>
      <c r="C44" s="51" t="s">
        <v>59</v>
      </c>
      <c r="D44" s="52" t="s">
        <v>98</v>
      </c>
      <c r="E44" s="214">
        <v>1003072</v>
      </c>
      <c r="F44" s="215">
        <v>0</v>
      </c>
      <c r="G44" s="214">
        <v>1224604</v>
      </c>
      <c r="H44" s="215">
        <v>0</v>
      </c>
      <c r="I44" s="53">
        <v>1229836</v>
      </c>
      <c r="J44" s="54">
        <v>0</v>
      </c>
      <c r="K44" s="212">
        <f t="shared" si="7"/>
        <v>100.4272401527351</v>
      </c>
      <c r="L44" s="208"/>
    </row>
    <row r="45" spans="1:12" s="56" customFormat="1" ht="16.5" customHeight="1" x14ac:dyDescent="0.25">
      <c r="A45" s="49"/>
      <c r="B45" s="50"/>
      <c r="C45" s="51" t="s">
        <v>64</v>
      </c>
      <c r="D45" s="52" t="s">
        <v>99</v>
      </c>
      <c r="E45" s="214">
        <v>815676</v>
      </c>
      <c r="F45" s="215">
        <v>0</v>
      </c>
      <c r="G45" s="214">
        <v>933115</v>
      </c>
      <c r="H45" s="215">
        <v>0</v>
      </c>
      <c r="I45" s="53">
        <v>957401</v>
      </c>
      <c r="J45" s="54">
        <v>0</v>
      </c>
      <c r="K45" s="212">
        <f t="shared" si="7"/>
        <v>102.60268026984885</v>
      </c>
      <c r="L45" s="208"/>
    </row>
    <row r="46" spans="1:12" s="56" customFormat="1" ht="16.5" customHeight="1" x14ac:dyDescent="0.25">
      <c r="A46" s="49"/>
      <c r="B46" s="50"/>
      <c r="C46" s="51" t="s">
        <v>66</v>
      </c>
      <c r="D46" s="52" t="s">
        <v>100</v>
      </c>
      <c r="E46" s="214">
        <v>943712</v>
      </c>
      <c r="F46" s="215">
        <v>0</v>
      </c>
      <c r="G46" s="214">
        <v>1131568</v>
      </c>
      <c r="H46" s="215">
        <v>0</v>
      </c>
      <c r="I46" s="53">
        <v>1121412</v>
      </c>
      <c r="J46" s="54">
        <v>0</v>
      </c>
      <c r="K46" s="212">
        <f t="shared" si="7"/>
        <v>99.102484340313609</v>
      </c>
      <c r="L46" s="208"/>
    </row>
    <row r="47" spans="1:12" s="56" customFormat="1" ht="16.5" customHeight="1" x14ac:dyDescent="0.25">
      <c r="A47" s="49"/>
      <c r="B47" s="50"/>
      <c r="C47" s="51" t="s">
        <v>82</v>
      </c>
      <c r="D47" s="52" t="s">
        <v>101</v>
      </c>
      <c r="E47" s="214">
        <v>826080</v>
      </c>
      <c r="F47" s="215">
        <v>0</v>
      </c>
      <c r="G47" s="214">
        <v>949172</v>
      </c>
      <c r="H47" s="215">
        <v>0</v>
      </c>
      <c r="I47" s="53">
        <v>945488</v>
      </c>
      <c r="J47" s="54">
        <v>0</v>
      </c>
      <c r="K47" s="212">
        <f t="shared" si="7"/>
        <v>99.61187224233332</v>
      </c>
      <c r="L47" s="208"/>
    </row>
    <row r="48" spans="1:12" s="56" customFormat="1" ht="16.5" customHeight="1" x14ac:dyDescent="0.25">
      <c r="A48" s="49"/>
      <c r="B48" s="50"/>
      <c r="C48" s="51" t="s">
        <v>89</v>
      </c>
      <c r="D48" s="52" t="s">
        <v>102</v>
      </c>
      <c r="E48" s="214">
        <v>819900</v>
      </c>
      <c r="F48" s="215">
        <v>0</v>
      </c>
      <c r="G48" s="214">
        <v>967358</v>
      </c>
      <c r="H48" s="215">
        <v>0</v>
      </c>
      <c r="I48" s="53">
        <v>976542</v>
      </c>
      <c r="J48" s="54">
        <v>0</v>
      </c>
      <c r="K48" s="212">
        <f t="shared" si="7"/>
        <v>100.9493899879879</v>
      </c>
      <c r="L48" s="208"/>
    </row>
    <row r="49" spans="1:12" s="56" customFormat="1" ht="16.5" customHeight="1" x14ac:dyDescent="0.25">
      <c r="A49" s="49"/>
      <c r="B49" s="50"/>
      <c r="C49" s="51" t="s">
        <v>103</v>
      </c>
      <c r="D49" s="52" t="s">
        <v>104</v>
      </c>
      <c r="E49" s="214">
        <v>797392</v>
      </c>
      <c r="F49" s="215">
        <v>0</v>
      </c>
      <c r="G49" s="214">
        <v>972256</v>
      </c>
      <c r="H49" s="215">
        <v>0</v>
      </c>
      <c r="I49" s="53">
        <v>989739</v>
      </c>
      <c r="J49" s="54">
        <v>0</v>
      </c>
      <c r="K49" s="212">
        <f t="shared" si="7"/>
        <v>101.79818895434947</v>
      </c>
      <c r="L49" s="208"/>
    </row>
    <row r="50" spans="1:12" s="56" customFormat="1" ht="16.5" customHeight="1" x14ac:dyDescent="0.25">
      <c r="A50" s="49"/>
      <c r="B50" s="50"/>
      <c r="C50" s="51" t="s">
        <v>105</v>
      </c>
      <c r="D50" s="52" t="s">
        <v>106</v>
      </c>
      <c r="E50" s="214">
        <v>574366</v>
      </c>
      <c r="F50" s="215">
        <v>0</v>
      </c>
      <c r="G50" s="214">
        <v>776603</v>
      </c>
      <c r="H50" s="215">
        <v>0</v>
      </c>
      <c r="I50" s="53">
        <v>774019</v>
      </c>
      <c r="J50" s="54">
        <v>0</v>
      </c>
      <c r="K50" s="212">
        <f t="shared" si="7"/>
        <v>99.667268861953914</v>
      </c>
      <c r="L50" s="208"/>
    </row>
    <row r="51" spans="1:12" s="56" customFormat="1" ht="16.5" customHeight="1" x14ac:dyDescent="0.25">
      <c r="A51" s="49"/>
      <c r="B51" s="50"/>
      <c r="C51" s="51" t="s">
        <v>107</v>
      </c>
      <c r="D51" s="52" t="s">
        <v>108</v>
      </c>
      <c r="E51" s="214">
        <v>1148605</v>
      </c>
      <c r="F51" s="215">
        <v>0</v>
      </c>
      <c r="G51" s="214">
        <v>1313537</v>
      </c>
      <c r="H51" s="215">
        <v>0</v>
      </c>
      <c r="I51" s="53">
        <v>1330534</v>
      </c>
      <c r="J51" s="54">
        <v>0</v>
      </c>
      <c r="K51" s="212">
        <f t="shared" si="7"/>
        <v>101.29398715072358</v>
      </c>
      <c r="L51" s="208"/>
    </row>
    <row r="52" spans="1:12" s="56" customFormat="1" ht="16.5" customHeight="1" x14ac:dyDescent="0.25">
      <c r="A52" s="49"/>
      <c r="B52" s="50"/>
      <c r="C52" s="51" t="s">
        <v>109</v>
      </c>
      <c r="D52" s="52" t="s">
        <v>110</v>
      </c>
      <c r="E52" s="214">
        <v>670291</v>
      </c>
      <c r="F52" s="215">
        <v>0</v>
      </c>
      <c r="G52" s="214">
        <v>873486</v>
      </c>
      <c r="H52" s="215">
        <v>0</v>
      </c>
      <c r="I52" s="53">
        <v>907032</v>
      </c>
      <c r="J52" s="54">
        <v>0</v>
      </c>
      <c r="K52" s="212">
        <f t="shared" si="7"/>
        <v>103.84047368818734</v>
      </c>
      <c r="L52" s="208"/>
    </row>
    <row r="53" spans="1:12" s="56" customFormat="1" ht="16.5" customHeight="1" x14ac:dyDescent="0.25">
      <c r="A53" s="49"/>
      <c r="B53" s="50"/>
      <c r="C53" s="51" t="s">
        <v>111</v>
      </c>
      <c r="D53" s="52" t="s">
        <v>112</v>
      </c>
      <c r="E53" s="214">
        <v>1097745</v>
      </c>
      <c r="F53" s="215">
        <v>0</v>
      </c>
      <c r="G53" s="214">
        <v>1266769</v>
      </c>
      <c r="H53" s="215">
        <v>0</v>
      </c>
      <c r="I53" s="53">
        <v>1269066</v>
      </c>
      <c r="J53" s="54">
        <v>0</v>
      </c>
      <c r="K53" s="212">
        <f t="shared" si="7"/>
        <v>100.18132745591343</v>
      </c>
      <c r="L53" s="208"/>
    </row>
    <row r="54" spans="1:12" s="56" customFormat="1" ht="16.5" customHeight="1" x14ac:dyDescent="0.25">
      <c r="A54" s="49"/>
      <c r="B54" s="50"/>
      <c r="C54" s="51" t="s">
        <v>113</v>
      </c>
      <c r="D54" s="52" t="s">
        <v>114</v>
      </c>
      <c r="E54" s="214">
        <v>1175613</v>
      </c>
      <c r="F54" s="215">
        <v>0</v>
      </c>
      <c r="G54" s="214">
        <v>1400342</v>
      </c>
      <c r="H54" s="215">
        <v>0</v>
      </c>
      <c r="I54" s="53">
        <v>1412008</v>
      </c>
      <c r="J54" s="54">
        <v>0</v>
      </c>
      <c r="K54" s="212">
        <f t="shared" si="7"/>
        <v>100.83308220420439</v>
      </c>
      <c r="L54" s="208"/>
    </row>
    <row r="55" spans="1:12" s="56" customFormat="1" ht="16.5" customHeight="1" x14ac:dyDescent="0.25">
      <c r="A55" s="49"/>
      <c r="B55" s="50">
        <v>3</v>
      </c>
      <c r="C55" s="51"/>
      <c r="D55" s="52" t="s">
        <v>115</v>
      </c>
      <c r="E55" s="214"/>
      <c r="F55" s="215"/>
      <c r="G55" s="214"/>
      <c r="H55" s="215"/>
      <c r="I55" s="53"/>
      <c r="J55" s="54"/>
      <c r="K55" s="212"/>
      <c r="L55" s="208"/>
    </row>
    <row r="56" spans="1:12" s="56" customFormat="1" ht="16.5" customHeight="1" x14ac:dyDescent="0.25">
      <c r="A56" s="49"/>
      <c r="B56" s="50"/>
      <c r="C56" s="51" t="s">
        <v>59</v>
      </c>
      <c r="D56" s="52" t="s">
        <v>116</v>
      </c>
      <c r="E56" s="214">
        <v>364851</v>
      </c>
      <c r="F56" s="215">
        <v>1481980</v>
      </c>
      <c r="G56" s="214">
        <v>364866</v>
      </c>
      <c r="H56" s="215">
        <v>1778910</v>
      </c>
      <c r="I56" s="53">
        <v>187050</v>
      </c>
      <c r="J56" s="54">
        <v>865279</v>
      </c>
      <c r="K56" s="212">
        <f t="shared" si="7"/>
        <v>51.265396063212243</v>
      </c>
      <c r="L56" s="208">
        <f t="shared" si="7"/>
        <v>48.640965535074848</v>
      </c>
    </row>
    <row r="57" spans="1:12" s="56" customFormat="1" ht="16.5" customHeight="1" x14ac:dyDescent="0.25">
      <c r="A57" s="49"/>
      <c r="B57" s="50"/>
      <c r="C57" s="51" t="s">
        <v>64</v>
      </c>
      <c r="D57" s="52" t="s">
        <v>117</v>
      </c>
      <c r="E57" s="214">
        <v>0</v>
      </c>
      <c r="F57" s="215">
        <v>18740</v>
      </c>
      <c r="G57" s="214">
        <v>0</v>
      </c>
      <c r="H57" s="215">
        <v>18740</v>
      </c>
      <c r="I57" s="53">
        <v>0</v>
      </c>
      <c r="J57" s="54">
        <v>0</v>
      </c>
      <c r="K57" s="212"/>
      <c r="L57" s="208">
        <f t="shared" si="7"/>
        <v>0</v>
      </c>
    </row>
    <row r="58" spans="1:12" s="56" customFormat="1" ht="16.5" customHeight="1" x14ac:dyDescent="0.25">
      <c r="A58" s="49"/>
      <c r="B58" s="50">
        <v>4</v>
      </c>
      <c r="C58" s="51"/>
      <c r="D58" s="52" t="s">
        <v>118</v>
      </c>
      <c r="E58" s="214">
        <v>225870</v>
      </c>
      <c r="F58" s="215">
        <v>0</v>
      </c>
      <c r="G58" s="214">
        <v>50228</v>
      </c>
      <c r="H58" s="215">
        <v>0</v>
      </c>
      <c r="I58" s="53">
        <v>38578</v>
      </c>
      <c r="J58" s="54">
        <v>0</v>
      </c>
      <c r="K58" s="212">
        <f t="shared" si="7"/>
        <v>76.805765708369833</v>
      </c>
      <c r="L58" s="208"/>
    </row>
    <row r="59" spans="1:12" ht="16.5" customHeight="1" x14ac:dyDescent="0.25">
      <c r="A59" s="49"/>
      <c r="B59" s="50">
        <v>5</v>
      </c>
      <c r="C59" s="51"/>
      <c r="D59" s="52" t="s">
        <v>119</v>
      </c>
      <c r="E59" s="214">
        <v>2095199</v>
      </c>
      <c r="F59" s="215">
        <v>0</v>
      </c>
      <c r="G59" s="214">
        <v>2350225</v>
      </c>
      <c r="H59" s="215">
        <v>0</v>
      </c>
      <c r="I59" s="53">
        <v>2350833.62</v>
      </c>
      <c r="J59" s="54">
        <v>0</v>
      </c>
      <c r="K59" s="212">
        <f t="shared" si="7"/>
        <v>100.02589624397665</v>
      </c>
      <c r="L59" s="208"/>
    </row>
    <row r="60" spans="1:12" ht="16.5" customHeight="1" x14ac:dyDescent="0.25">
      <c r="A60" s="49"/>
      <c r="B60" s="50">
        <v>6</v>
      </c>
      <c r="C60" s="51"/>
      <c r="D60" s="52" t="s">
        <v>120</v>
      </c>
      <c r="E60" s="214">
        <v>2497590</v>
      </c>
      <c r="F60" s="215">
        <v>0</v>
      </c>
      <c r="G60" s="214">
        <v>2555165</v>
      </c>
      <c r="H60" s="215">
        <v>20000</v>
      </c>
      <c r="I60" s="53">
        <v>2105385</v>
      </c>
      <c r="J60" s="54">
        <v>0</v>
      </c>
      <c r="K60" s="212">
        <f t="shared" si="7"/>
        <v>82.397222879931434</v>
      </c>
      <c r="L60" s="208">
        <f t="shared" si="7"/>
        <v>0</v>
      </c>
    </row>
    <row r="61" spans="1:12" ht="16.5" customHeight="1" x14ac:dyDescent="0.25">
      <c r="A61" s="49"/>
      <c r="B61" s="50">
        <v>7</v>
      </c>
      <c r="C61" s="51"/>
      <c r="D61" s="52" t="s">
        <v>121</v>
      </c>
      <c r="E61" s="214">
        <v>4570</v>
      </c>
      <c r="F61" s="215">
        <v>0</v>
      </c>
      <c r="G61" s="214">
        <v>4570</v>
      </c>
      <c r="H61" s="215">
        <v>0</v>
      </c>
      <c r="I61" s="53">
        <v>4353</v>
      </c>
      <c r="J61" s="54">
        <v>0</v>
      </c>
      <c r="K61" s="212">
        <f t="shared" si="7"/>
        <v>95.251641137855586</v>
      </c>
      <c r="L61" s="208"/>
    </row>
    <row r="62" spans="1:12" s="88" customFormat="1" ht="16.5" customHeight="1" x14ac:dyDescent="0.25">
      <c r="A62" s="49"/>
      <c r="B62" s="50">
        <v>8</v>
      </c>
      <c r="C62" s="51"/>
      <c r="D62" s="87" t="s">
        <v>122</v>
      </c>
      <c r="E62" s="214">
        <v>18000</v>
      </c>
      <c r="F62" s="215">
        <v>0</v>
      </c>
      <c r="G62" s="214">
        <v>10295</v>
      </c>
      <c r="H62" s="215">
        <v>0</v>
      </c>
      <c r="I62" s="53">
        <v>4533</v>
      </c>
      <c r="J62" s="54">
        <v>0</v>
      </c>
      <c r="K62" s="212">
        <f t="shared" si="7"/>
        <v>44.031083050024286</v>
      </c>
      <c r="L62" s="208"/>
    </row>
    <row r="63" spans="1:12" ht="16.5" customHeight="1" x14ac:dyDescent="0.25">
      <c r="A63" s="58" t="s">
        <v>89</v>
      </c>
      <c r="B63" s="59"/>
      <c r="C63" s="60"/>
      <c r="D63" s="61" t="s">
        <v>123</v>
      </c>
      <c r="E63" s="62">
        <f t="shared" ref="E63" si="8">SUM(E41:E62)</f>
        <v>23941017</v>
      </c>
      <c r="F63" s="63">
        <f t="shared" ref="F63" si="9">SUM(F40:F62)</f>
        <v>1500720</v>
      </c>
      <c r="G63" s="62">
        <f t="shared" ref="G63:I63" si="10">SUM(G41:G62)</f>
        <v>26486074</v>
      </c>
      <c r="H63" s="63">
        <f t="shared" ref="H63:J63" si="11">SUM(H40:H62)</f>
        <v>1851050</v>
      </c>
      <c r="I63" s="62">
        <f t="shared" si="10"/>
        <v>25610438.620000001</v>
      </c>
      <c r="J63" s="63">
        <f t="shared" si="11"/>
        <v>898179</v>
      </c>
      <c r="K63" s="202">
        <f t="shared" si="7"/>
        <v>96.693978201525837</v>
      </c>
      <c r="L63" s="203">
        <f t="shared" si="7"/>
        <v>48.522676318846059</v>
      </c>
    </row>
    <row r="64" spans="1:12" ht="16.5" customHeight="1" x14ac:dyDescent="0.25">
      <c r="A64" s="64" t="s">
        <v>103</v>
      </c>
      <c r="B64" s="65"/>
      <c r="C64" s="66"/>
      <c r="D64" s="67" t="s">
        <v>124</v>
      </c>
      <c r="E64" s="68"/>
      <c r="F64" s="69"/>
      <c r="G64" s="68"/>
      <c r="H64" s="69"/>
      <c r="I64" s="68"/>
      <c r="J64" s="69"/>
      <c r="K64" s="204"/>
      <c r="L64" s="205"/>
    </row>
    <row r="65" spans="1:12" ht="16.5" customHeight="1" x14ac:dyDescent="0.25">
      <c r="A65" s="49"/>
      <c r="B65" s="50">
        <v>1</v>
      </c>
      <c r="C65" s="51"/>
      <c r="D65" s="52" t="s">
        <v>125</v>
      </c>
      <c r="E65" s="214">
        <v>702813</v>
      </c>
      <c r="F65" s="215">
        <v>0</v>
      </c>
      <c r="G65" s="214">
        <v>707792</v>
      </c>
      <c r="H65" s="215">
        <v>0</v>
      </c>
      <c r="I65" s="53">
        <v>674361</v>
      </c>
      <c r="J65" s="54">
        <v>0</v>
      </c>
      <c r="K65" s="212">
        <f t="shared" si="7"/>
        <v>95.276719714266335</v>
      </c>
      <c r="L65" s="208"/>
    </row>
    <row r="66" spans="1:12" ht="16.5" customHeight="1" x14ac:dyDescent="0.25">
      <c r="A66" s="49"/>
      <c r="B66" s="50">
        <v>2</v>
      </c>
      <c r="C66" s="51"/>
      <c r="D66" s="52" t="s">
        <v>126</v>
      </c>
      <c r="E66" s="214">
        <v>1439934</v>
      </c>
      <c r="F66" s="215">
        <v>25000</v>
      </c>
      <c r="G66" s="214">
        <v>1563665</v>
      </c>
      <c r="H66" s="215">
        <v>25000</v>
      </c>
      <c r="I66" s="53">
        <v>1555229</v>
      </c>
      <c r="J66" s="54">
        <v>24966</v>
      </c>
      <c r="K66" s="212">
        <f t="shared" si="7"/>
        <v>99.460498252502944</v>
      </c>
      <c r="L66" s="208">
        <f t="shared" si="7"/>
        <v>99.864000000000004</v>
      </c>
    </row>
    <row r="67" spans="1:12" s="56" customFormat="1" ht="16.5" customHeight="1" x14ac:dyDescent="0.25">
      <c r="A67" s="49"/>
      <c r="B67" s="50">
        <v>3</v>
      </c>
      <c r="C67" s="51"/>
      <c r="D67" s="52" t="s">
        <v>127</v>
      </c>
      <c r="E67" s="214">
        <v>258676</v>
      </c>
      <c r="F67" s="215">
        <v>0</v>
      </c>
      <c r="G67" s="214">
        <v>160225</v>
      </c>
      <c r="H67" s="215">
        <v>0</v>
      </c>
      <c r="I67" s="53">
        <v>118535</v>
      </c>
      <c r="J67" s="54">
        <v>0</v>
      </c>
      <c r="K67" s="212">
        <f t="shared" si="7"/>
        <v>73.980340146668738</v>
      </c>
      <c r="L67" s="208"/>
    </row>
    <row r="68" spans="1:12" s="56" customFormat="1" ht="16.5" customHeight="1" x14ac:dyDescent="0.25">
      <c r="A68" s="49"/>
      <c r="B68" s="50">
        <v>4</v>
      </c>
      <c r="C68" s="51"/>
      <c r="D68" s="52" t="s">
        <v>128</v>
      </c>
      <c r="E68" s="214"/>
      <c r="F68" s="215"/>
      <c r="G68" s="214"/>
      <c r="H68" s="215"/>
      <c r="I68" s="53"/>
      <c r="J68" s="54"/>
      <c r="K68" s="212"/>
      <c r="L68" s="208"/>
    </row>
    <row r="69" spans="1:12" ht="16.5" customHeight="1" x14ac:dyDescent="0.25">
      <c r="A69" s="49"/>
      <c r="B69" s="50"/>
      <c r="C69" s="51" t="s">
        <v>59</v>
      </c>
      <c r="D69" s="52" t="s">
        <v>129</v>
      </c>
      <c r="E69" s="214">
        <v>25600</v>
      </c>
      <c r="F69" s="215">
        <v>0</v>
      </c>
      <c r="G69" s="214">
        <v>25600</v>
      </c>
      <c r="H69" s="215">
        <v>0</v>
      </c>
      <c r="I69" s="53">
        <v>1177</v>
      </c>
      <c r="J69" s="54">
        <v>0</v>
      </c>
      <c r="K69" s="212">
        <f t="shared" si="7"/>
        <v>4.59765625</v>
      </c>
      <c r="L69" s="208"/>
    </row>
    <row r="70" spans="1:12" ht="16.5" customHeight="1" x14ac:dyDescent="0.25">
      <c r="A70" s="49"/>
      <c r="B70" s="50"/>
      <c r="C70" s="51" t="s">
        <v>64</v>
      </c>
      <c r="D70" s="52" t="s">
        <v>130</v>
      </c>
      <c r="E70" s="214">
        <v>241900</v>
      </c>
      <c r="F70" s="215">
        <v>21114</v>
      </c>
      <c r="G70" s="214">
        <v>379333</v>
      </c>
      <c r="H70" s="215">
        <v>73923</v>
      </c>
      <c r="I70" s="53">
        <v>353739</v>
      </c>
      <c r="J70" s="54">
        <v>0</v>
      </c>
      <c r="K70" s="212">
        <f t="shared" si="7"/>
        <v>93.252893895337337</v>
      </c>
      <c r="L70" s="208">
        <f t="shared" si="7"/>
        <v>0</v>
      </c>
    </row>
    <row r="71" spans="1:12" ht="16.5" customHeight="1" thickBot="1" x14ac:dyDescent="0.3">
      <c r="A71" s="89" t="s">
        <v>103</v>
      </c>
      <c r="B71" s="90"/>
      <c r="C71" s="91"/>
      <c r="D71" s="74" t="s">
        <v>131</v>
      </c>
      <c r="E71" s="75">
        <f t="shared" ref="E71:J71" si="12">SUM(E65:E70)</f>
        <v>2668923</v>
      </c>
      <c r="F71" s="76">
        <f t="shared" si="12"/>
        <v>46114</v>
      </c>
      <c r="G71" s="75">
        <f t="shared" si="12"/>
        <v>2836615</v>
      </c>
      <c r="H71" s="76">
        <f t="shared" si="12"/>
        <v>98923</v>
      </c>
      <c r="I71" s="75">
        <f t="shared" si="12"/>
        <v>2703041</v>
      </c>
      <c r="J71" s="76">
        <f t="shared" si="12"/>
        <v>24966</v>
      </c>
      <c r="K71" s="206">
        <f t="shared" si="7"/>
        <v>95.291077569567946</v>
      </c>
      <c r="L71" s="207">
        <f t="shared" si="7"/>
        <v>25.237811226913863</v>
      </c>
    </row>
    <row r="72" spans="1:12" s="96" customFormat="1" ht="4.5" customHeight="1" x14ac:dyDescent="0.25">
      <c r="A72" s="92"/>
      <c r="B72" s="93"/>
      <c r="C72" s="92"/>
      <c r="D72" s="94"/>
      <c r="E72" s="95"/>
      <c r="F72" s="95"/>
      <c r="G72" s="95"/>
      <c r="H72" s="95"/>
      <c r="I72" s="95"/>
      <c r="J72" s="95"/>
      <c r="K72" s="95"/>
      <c r="L72" s="95"/>
    </row>
    <row r="73" spans="1:12" ht="22.15" customHeight="1" x14ac:dyDescent="0.35">
      <c r="A73" s="576" t="s">
        <v>245</v>
      </c>
      <c r="B73" s="576"/>
      <c r="C73" s="576"/>
      <c r="D73" s="576"/>
      <c r="E73" s="576"/>
      <c r="F73" s="576"/>
      <c r="G73" s="576"/>
      <c r="H73" s="576"/>
      <c r="I73" s="576"/>
      <c r="J73" s="576"/>
      <c r="K73" s="576"/>
      <c r="L73" s="576"/>
    </row>
    <row r="74" spans="1:12" ht="30" customHeight="1" thickBot="1" x14ac:dyDescent="0.3">
      <c r="A74" s="97"/>
      <c r="B74" s="98"/>
      <c r="C74" s="97"/>
      <c r="D74" s="99"/>
      <c r="E74" s="82"/>
      <c r="F74" s="82"/>
      <c r="G74" s="82"/>
      <c r="H74" s="40"/>
      <c r="I74" s="82"/>
      <c r="J74" s="40"/>
      <c r="K74" s="82"/>
      <c r="L74" s="40" t="s">
        <v>132</v>
      </c>
    </row>
    <row r="75" spans="1:12" ht="32.1" customHeight="1" thickBot="1" x14ac:dyDescent="0.25">
      <c r="A75" s="577" t="s">
        <v>55</v>
      </c>
      <c r="B75" s="578"/>
      <c r="C75" s="579"/>
      <c r="D75" s="583" t="s">
        <v>56</v>
      </c>
      <c r="E75" s="585" t="s">
        <v>53</v>
      </c>
      <c r="F75" s="586"/>
      <c r="G75" s="585" t="s">
        <v>244</v>
      </c>
      <c r="H75" s="586"/>
      <c r="I75" s="585" t="s">
        <v>246</v>
      </c>
      <c r="J75" s="586"/>
      <c r="K75" s="585" t="s">
        <v>238</v>
      </c>
      <c r="L75" s="586"/>
    </row>
    <row r="76" spans="1:12" ht="32.1" customHeight="1" thickBot="1" x14ac:dyDescent="0.25">
      <c r="A76" s="580"/>
      <c r="B76" s="581"/>
      <c r="C76" s="582"/>
      <c r="D76" s="584"/>
      <c r="E76" s="41" t="s">
        <v>57</v>
      </c>
      <c r="F76" s="42" t="s">
        <v>58</v>
      </c>
      <c r="G76" s="41" t="s">
        <v>57</v>
      </c>
      <c r="H76" s="42" t="s">
        <v>58</v>
      </c>
      <c r="I76" s="41" t="s">
        <v>57</v>
      </c>
      <c r="J76" s="42" t="s">
        <v>58</v>
      </c>
      <c r="K76" s="41" t="s">
        <v>57</v>
      </c>
      <c r="L76" s="42" t="s">
        <v>58</v>
      </c>
    </row>
    <row r="77" spans="1:12" ht="16.5" customHeight="1" x14ac:dyDescent="0.25">
      <c r="A77" s="43" t="s">
        <v>105</v>
      </c>
      <c r="B77" s="44"/>
      <c r="C77" s="45"/>
      <c r="D77" s="46" t="s">
        <v>133</v>
      </c>
      <c r="E77" s="47"/>
      <c r="F77" s="48"/>
      <c r="G77" s="47"/>
      <c r="H77" s="48"/>
      <c r="I77" s="47"/>
      <c r="J77" s="48"/>
      <c r="K77" s="47"/>
      <c r="L77" s="48"/>
    </row>
    <row r="78" spans="1:12" s="70" customFormat="1" ht="16.5" customHeight="1" x14ac:dyDescent="0.25">
      <c r="A78" s="49"/>
      <c r="B78" s="50">
        <v>1</v>
      </c>
      <c r="C78" s="51"/>
      <c r="D78" s="52" t="s">
        <v>134</v>
      </c>
      <c r="E78" s="214">
        <v>1093965</v>
      </c>
      <c r="F78" s="215">
        <v>0</v>
      </c>
      <c r="G78" s="214">
        <v>231391</v>
      </c>
      <c r="H78" s="215">
        <v>263993</v>
      </c>
      <c r="I78" s="53">
        <v>197182</v>
      </c>
      <c r="J78" s="54">
        <v>228177</v>
      </c>
      <c r="K78" s="212">
        <f t="shared" ref="K78:L108" si="13">I78/G78*100</f>
        <v>85.215933203970778</v>
      </c>
      <c r="L78" s="208">
        <f t="shared" si="13"/>
        <v>86.432973601572769</v>
      </c>
    </row>
    <row r="79" spans="1:12" s="56" customFormat="1" ht="16.5" customHeight="1" x14ac:dyDescent="0.25">
      <c r="A79" s="49"/>
      <c r="B79" s="50">
        <v>2</v>
      </c>
      <c r="C79" s="51"/>
      <c r="D79" s="52" t="s">
        <v>135</v>
      </c>
      <c r="E79" s="214"/>
      <c r="F79" s="215"/>
      <c r="G79" s="214"/>
      <c r="H79" s="215"/>
      <c r="I79" s="53"/>
      <c r="J79" s="54"/>
      <c r="K79" s="212"/>
      <c r="L79" s="208"/>
    </row>
    <row r="80" spans="1:12" s="56" customFormat="1" ht="16.5" customHeight="1" x14ac:dyDescent="0.25">
      <c r="A80" s="49"/>
      <c r="B80" s="50"/>
      <c r="C80" s="51" t="s">
        <v>59</v>
      </c>
      <c r="D80" s="52" t="s">
        <v>136</v>
      </c>
      <c r="E80" s="214">
        <v>15000</v>
      </c>
      <c r="F80" s="215">
        <v>0</v>
      </c>
      <c r="G80" s="214">
        <v>4000</v>
      </c>
      <c r="H80" s="215">
        <v>0</v>
      </c>
      <c r="I80" s="53">
        <v>1526</v>
      </c>
      <c r="J80" s="54">
        <v>0</v>
      </c>
      <c r="K80" s="212">
        <f t="shared" si="13"/>
        <v>38.15</v>
      </c>
      <c r="L80" s="208"/>
    </row>
    <row r="81" spans="1:12" s="56" customFormat="1" ht="16.5" customHeight="1" x14ac:dyDescent="0.25">
      <c r="A81" s="49"/>
      <c r="B81" s="50"/>
      <c r="C81" s="51" t="s">
        <v>64</v>
      </c>
      <c r="D81" s="52" t="s">
        <v>137</v>
      </c>
      <c r="E81" s="214">
        <v>35875</v>
      </c>
      <c r="F81" s="215">
        <v>0</v>
      </c>
      <c r="G81" s="214">
        <v>35875</v>
      </c>
      <c r="H81" s="215">
        <v>0</v>
      </c>
      <c r="I81" s="53">
        <v>24039</v>
      </c>
      <c r="J81" s="54">
        <v>0</v>
      </c>
      <c r="K81" s="212">
        <f t="shared" si="13"/>
        <v>67.00766550522647</v>
      </c>
      <c r="L81" s="208"/>
    </row>
    <row r="82" spans="1:12" s="56" customFormat="1" ht="16.5" customHeight="1" x14ac:dyDescent="0.25">
      <c r="A82" s="49"/>
      <c r="B82" s="50">
        <v>3</v>
      </c>
      <c r="C82" s="51"/>
      <c r="D82" s="52" t="s">
        <v>138</v>
      </c>
      <c r="E82" s="214"/>
      <c r="F82" s="215"/>
      <c r="G82" s="214"/>
      <c r="H82" s="215"/>
      <c r="I82" s="53"/>
      <c r="J82" s="54"/>
      <c r="K82" s="212"/>
      <c r="L82" s="208"/>
    </row>
    <row r="83" spans="1:12" ht="16.5" customHeight="1" x14ac:dyDescent="0.25">
      <c r="A83" s="49"/>
      <c r="B83" s="50"/>
      <c r="C83" s="51" t="s">
        <v>59</v>
      </c>
      <c r="D83" s="52" t="s">
        <v>139</v>
      </c>
      <c r="E83" s="214">
        <v>696706</v>
      </c>
      <c r="F83" s="215">
        <v>0</v>
      </c>
      <c r="G83" s="214">
        <v>779258</v>
      </c>
      <c r="H83" s="215">
        <v>0</v>
      </c>
      <c r="I83" s="53">
        <v>639794</v>
      </c>
      <c r="J83" s="54">
        <v>0</v>
      </c>
      <c r="K83" s="212">
        <f t="shared" si="13"/>
        <v>82.102974881233166</v>
      </c>
      <c r="L83" s="208"/>
    </row>
    <row r="84" spans="1:12" ht="16.5" customHeight="1" x14ac:dyDescent="0.25">
      <c r="A84" s="49"/>
      <c r="B84" s="50"/>
      <c r="C84" s="51" t="s">
        <v>64</v>
      </c>
      <c r="D84" s="52" t="s">
        <v>140</v>
      </c>
      <c r="E84" s="214">
        <v>45000</v>
      </c>
      <c r="F84" s="215">
        <v>20000</v>
      </c>
      <c r="G84" s="214">
        <v>53620</v>
      </c>
      <c r="H84" s="215">
        <v>0</v>
      </c>
      <c r="I84" s="53">
        <v>33034</v>
      </c>
      <c r="J84" s="54">
        <v>0</v>
      </c>
      <c r="K84" s="212">
        <f t="shared" si="13"/>
        <v>61.607609101081685</v>
      </c>
      <c r="L84" s="208"/>
    </row>
    <row r="85" spans="1:12" ht="16.5" customHeight="1" x14ac:dyDescent="0.25">
      <c r="A85" s="49"/>
      <c r="B85" s="50"/>
      <c r="C85" s="51" t="s">
        <v>66</v>
      </c>
      <c r="D85" s="52" t="s">
        <v>141</v>
      </c>
      <c r="E85" s="214">
        <v>0</v>
      </c>
      <c r="F85" s="215">
        <v>10000</v>
      </c>
      <c r="G85" s="214">
        <v>0</v>
      </c>
      <c r="H85" s="215">
        <v>10000</v>
      </c>
      <c r="I85" s="53">
        <v>0</v>
      </c>
      <c r="J85" s="54">
        <v>2656</v>
      </c>
      <c r="K85" s="212"/>
      <c r="L85" s="208">
        <f t="shared" si="13"/>
        <v>26.56</v>
      </c>
    </row>
    <row r="86" spans="1:12" ht="16.5" customHeight="1" x14ac:dyDescent="0.25">
      <c r="A86" s="49"/>
      <c r="B86" s="50"/>
      <c r="C86" s="51" t="s">
        <v>82</v>
      </c>
      <c r="D86" s="52" t="s">
        <v>142</v>
      </c>
      <c r="E86" s="214">
        <v>10000</v>
      </c>
      <c r="F86" s="215">
        <v>0</v>
      </c>
      <c r="G86" s="214">
        <v>10000</v>
      </c>
      <c r="H86" s="215">
        <v>0</v>
      </c>
      <c r="I86" s="53">
        <v>10000</v>
      </c>
      <c r="J86" s="54">
        <v>0</v>
      </c>
      <c r="K86" s="212">
        <f t="shared" si="13"/>
        <v>100</v>
      </c>
      <c r="L86" s="208"/>
    </row>
    <row r="87" spans="1:12" ht="16.5" customHeight="1" x14ac:dyDescent="0.25">
      <c r="A87" s="49"/>
      <c r="B87" s="50">
        <v>4</v>
      </c>
      <c r="C87" s="51"/>
      <c r="D87" s="52" t="s">
        <v>143</v>
      </c>
      <c r="E87" s="214"/>
      <c r="F87" s="215"/>
      <c r="G87" s="214"/>
      <c r="H87" s="215"/>
      <c r="I87" s="53"/>
      <c r="J87" s="54"/>
      <c r="K87" s="212"/>
      <c r="L87" s="208"/>
    </row>
    <row r="88" spans="1:12" ht="16.5" customHeight="1" x14ac:dyDescent="0.25">
      <c r="A88" s="49"/>
      <c r="B88" s="50"/>
      <c r="C88" s="51" t="s">
        <v>59</v>
      </c>
      <c r="D88" s="52" t="s">
        <v>144</v>
      </c>
      <c r="E88" s="214">
        <v>138255</v>
      </c>
      <c r="F88" s="215">
        <v>70000</v>
      </c>
      <c r="G88" s="214">
        <v>5050</v>
      </c>
      <c r="H88" s="215">
        <v>46356</v>
      </c>
      <c r="I88" s="53">
        <v>4834</v>
      </c>
      <c r="J88" s="54">
        <v>41186</v>
      </c>
      <c r="K88" s="212">
        <f t="shared" si="13"/>
        <v>95.722772277227719</v>
      </c>
      <c r="L88" s="208">
        <f t="shared" si="13"/>
        <v>88.847182673224609</v>
      </c>
    </row>
    <row r="89" spans="1:12" ht="16.5" customHeight="1" x14ac:dyDescent="0.25">
      <c r="A89" s="49"/>
      <c r="B89" s="50"/>
      <c r="C89" s="51" t="s">
        <v>64</v>
      </c>
      <c r="D89" s="52" t="s">
        <v>145</v>
      </c>
      <c r="E89" s="214">
        <v>413450</v>
      </c>
      <c r="F89" s="215">
        <v>0</v>
      </c>
      <c r="G89" s="214">
        <v>464390</v>
      </c>
      <c r="H89" s="215">
        <v>144183</v>
      </c>
      <c r="I89" s="53">
        <v>444161</v>
      </c>
      <c r="J89" s="54">
        <v>118904</v>
      </c>
      <c r="K89" s="212">
        <f t="shared" si="13"/>
        <v>95.643963048299923</v>
      </c>
      <c r="L89" s="208">
        <f t="shared" si="13"/>
        <v>82.46741987612964</v>
      </c>
    </row>
    <row r="90" spans="1:12" ht="16.5" customHeight="1" x14ac:dyDescent="0.25">
      <c r="A90" s="58" t="s">
        <v>105</v>
      </c>
      <c r="B90" s="59"/>
      <c r="C90" s="60"/>
      <c r="D90" s="61" t="s">
        <v>146</v>
      </c>
      <c r="E90" s="100">
        <f t="shared" ref="E90:F90" si="14">SUM(E78:E89)</f>
        <v>2448251</v>
      </c>
      <c r="F90" s="101">
        <f t="shared" si="14"/>
        <v>100000</v>
      </c>
      <c r="G90" s="100">
        <f t="shared" ref="G90:J90" si="15">SUM(G78:G89)</f>
        <v>1583584</v>
      </c>
      <c r="H90" s="101">
        <f t="shared" si="15"/>
        <v>464532</v>
      </c>
      <c r="I90" s="100">
        <f t="shared" si="15"/>
        <v>1354570</v>
      </c>
      <c r="J90" s="101">
        <f t="shared" si="15"/>
        <v>390923</v>
      </c>
      <c r="K90" s="263">
        <f t="shared" si="13"/>
        <v>85.538247418513961</v>
      </c>
      <c r="L90" s="264">
        <f t="shared" si="13"/>
        <v>84.154159455107504</v>
      </c>
    </row>
    <row r="91" spans="1:12" ht="16.5" customHeight="1" x14ac:dyDescent="0.25">
      <c r="A91" s="64" t="s">
        <v>107</v>
      </c>
      <c r="B91" s="65"/>
      <c r="C91" s="66"/>
      <c r="D91" s="67" t="s">
        <v>147</v>
      </c>
      <c r="E91" s="68"/>
      <c r="F91" s="69"/>
      <c r="G91" s="68"/>
      <c r="H91" s="69"/>
      <c r="I91" s="68"/>
      <c r="J91" s="69"/>
      <c r="K91" s="204"/>
      <c r="L91" s="205"/>
    </row>
    <row r="92" spans="1:12" ht="16.5" customHeight="1" x14ac:dyDescent="0.25">
      <c r="A92" s="49"/>
      <c r="B92" s="50">
        <v>1</v>
      </c>
      <c r="C92" s="51"/>
      <c r="D92" s="52" t="s">
        <v>148</v>
      </c>
      <c r="E92" s="214">
        <v>0</v>
      </c>
      <c r="F92" s="215">
        <v>42757</v>
      </c>
      <c r="G92" s="214">
        <v>0</v>
      </c>
      <c r="H92" s="215">
        <v>34757</v>
      </c>
      <c r="I92" s="53">
        <v>0</v>
      </c>
      <c r="J92" s="54">
        <v>34757</v>
      </c>
      <c r="K92" s="212"/>
      <c r="L92" s="208">
        <f t="shared" si="13"/>
        <v>100</v>
      </c>
    </row>
    <row r="93" spans="1:12" ht="16.5" customHeight="1" x14ac:dyDescent="0.25">
      <c r="A93" s="49"/>
      <c r="B93" s="50">
        <v>2</v>
      </c>
      <c r="C93" s="51"/>
      <c r="D93" s="52" t="s">
        <v>149</v>
      </c>
      <c r="E93" s="214"/>
      <c r="F93" s="215"/>
      <c r="G93" s="214"/>
      <c r="H93" s="215"/>
      <c r="I93" s="53"/>
      <c r="J93" s="54"/>
      <c r="K93" s="212"/>
      <c r="L93" s="208"/>
    </row>
    <row r="94" spans="1:12" ht="16.5" customHeight="1" x14ac:dyDescent="0.25">
      <c r="A94" s="49"/>
      <c r="B94" s="50"/>
      <c r="C94" s="51" t="s">
        <v>59</v>
      </c>
      <c r="D94" s="52" t="s">
        <v>150</v>
      </c>
      <c r="E94" s="214">
        <v>54608</v>
      </c>
      <c r="F94" s="215">
        <v>0</v>
      </c>
      <c r="G94" s="214">
        <v>54608</v>
      </c>
      <c r="H94" s="215">
        <v>0</v>
      </c>
      <c r="I94" s="53">
        <v>42484</v>
      </c>
      <c r="J94" s="54">
        <v>0</v>
      </c>
      <c r="K94" s="212">
        <f t="shared" si="13"/>
        <v>77.798124816876651</v>
      </c>
      <c r="L94" s="208"/>
    </row>
    <row r="95" spans="1:12" ht="16.5" customHeight="1" x14ac:dyDescent="0.25">
      <c r="A95" s="49"/>
      <c r="B95" s="50"/>
      <c r="C95" s="51" t="s">
        <v>64</v>
      </c>
      <c r="D95" s="52" t="s">
        <v>151</v>
      </c>
      <c r="E95" s="214">
        <v>6580</v>
      </c>
      <c r="F95" s="215">
        <v>0</v>
      </c>
      <c r="G95" s="214">
        <v>6580</v>
      </c>
      <c r="H95" s="215">
        <v>0</v>
      </c>
      <c r="I95" s="53">
        <v>6330</v>
      </c>
      <c r="J95" s="54">
        <v>0</v>
      </c>
      <c r="K95" s="212">
        <f t="shared" si="13"/>
        <v>96.200607902735555</v>
      </c>
      <c r="L95" s="208"/>
    </row>
    <row r="96" spans="1:12" ht="16.5" customHeight="1" x14ac:dyDescent="0.25">
      <c r="A96" s="49"/>
      <c r="B96" s="50"/>
      <c r="C96" s="51" t="s">
        <v>66</v>
      </c>
      <c r="D96" s="52" t="s">
        <v>152</v>
      </c>
      <c r="E96" s="214">
        <v>4948</v>
      </c>
      <c r="F96" s="215">
        <v>0</v>
      </c>
      <c r="G96" s="214">
        <v>4948</v>
      </c>
      <c r="H96" s="215">
        <v>0</v>
      </c>
      <c r="I96" s="53">
        <v>4948</v>
      </c>
      <c r="J96" s="54">
        <v>0</v>
      </c>
      <c r="K96" s="212">
        <f t="shared" si="13"/>
        <v>100</v>
      </c>
      <c r="L96" s="208"/>
    </row>
    <row r="97" spans="1:12" ht="16.5" customHeight="1" x14ac:dyDescent="0.25">
      <c r="A97" s="58" t="s">
        <v>107</v>
      </c>
      <c r="B97" s="59"/>
      <c r="C97" s="60"/>
      <c r="D97" s="61" t="s">
        <v>153</v>
      </c>
      <c r="E97" s="62">
        <f t="shared" ref="E97:J97" si="16">SUM(E92:E96)</f>
        <v>66136</v>
      </c>
      <c r="F97" s="63">
        <f t="shared" si="16"/>
        <v>42757</v>
      </c>
      <c r="G97" s="62">
        <f t="shared" si="16"/>
        <v>66136</v>
      </c>
      <c r="H97" s="63">
        <f t="shared" si="16"/>
        <v>34757</v>
      </c>
      <c r="I97" s="62">
        <f t="shared" si="16"/>
        <v>53762</v>
      </c>
      <c r="J97" s="63">
        <f t="shared" si="16"/>
        <v>34757</v>
      </c>
      <c r="K97" s="202">
        <f t="shared" si="13"/>
        <v>81.290068948832712</v>
      </c>
      <c r="L97" s="203">
        <f t="shared" si="13"/>
        <v>100</v>
      </c>
    </row>
    <row r="98" spans="1:12" s="56" customFormat="1" ht="16.5" customHeight="1" x14ac:dyDescent="0.25">
      <c r="A98" s="64" t="s">
        <v>109</v>
      </c>
      <c r="B98" s="65"/>
      <c r="C98" s="66"/>
      <c r="D98" s="67" t="s">
        <v>154</v>
      </c>
      <c r="E98" s="68"/>
      <c r="F98" s="69"/>
      <c r="G98" s="68"/>
      <c r="H98" s="69"/>
      <c r="I98" s="68"/>
      <c r="J98" s="69"/>
      <c r="K98" s="204"/>
      <c r="L98" s="205"/>
    </row>
    <row r="99" spans="1:12" s="56" customFormat="1" ht="16.5" customHeight="1" x14ac:dyDescent="0.25">
      <c r="A99" s="49"/>
      <c r="B99" s="50">
        <v>1</v>
      </c>
      <c r="C99" s="51"/>
      <c r="D99" s="52" t="s">
        <v>155</v>
      </c>
      <c r="E99" s="214">
        <v>465620</v>
      </c>
      <c r="F99" s="215">
        <v>0</v>
      </c>
      <c r="G99" s="214">
        <v>465620</v>
      </c>
      <c r="H99" s="215">
        <v>0</v>
      </c>
      <c r="I99" s="53">
        <v>378587</v>
      </c>
      <c r="J99" s="54">
        <v>0</v>
      </c>
      <c r="K99" s="212">
        <f t="shared" si="13"/>
        <v>81.308148275417722</v>
      </c>
      <c r="L99" s="208"/>
    </row>
    <row r="100" spans="1:12" ht="16.5" customHeight="1" x14ac:dyDescent="0.25">
      <c r="A100" s="49"/>
      <c r="B100" s="50">
        <v>2</v>
      </c>
      <c r="C100" s="51"/>
      <c r="D100" s="52" t="s">
        <v>156</v>
      </c>
      <c r="E100" s="214">
        <v>180850</v>
      </c>
      <c r="F100" s="215">
        <v>0</v>
      </c>
      <c r="G100" s="214">
        <v>180850</v>
      </c>
      <c r="H100" s="215">
        <v>0</v>
      </c>
      <c r="I100" s="53">
        <v>138914</v>
      </c>
      <c r="J100" s="54">
        <v>0</v>
      </c>
      <c r="K100" s="212">
        <f t="shared" si="13"/>
        <v>76.811722421896604</v>
      </c>
      <c r="L100" s="208"/>
    </row>
    <row r="101" spans="1:12" ht="16.5" customHeight="1" x14ac:dyDescent="0.25">
      <c r="A101" s="49"/>
      <c r="B101" s="50">
        <v>3</v>
      </c>
      <c r="C101" s="51"/>
      <c r="D101" s="52" t="s">
        <v>157</v>
      </c>
      <c r="E101" s="214">
        <v>205303</v>
      </c>
      <c r="F101" s="215">
        <v>404651</v>
      </c>
      <c r="G101" s="214">
        <v>207763</v>
      </c>
      <c r="H101" s="215">
        <v>104121</v>
      </c>
      <c r="I101" s="53">
        <v>184287</v>
      </c>
      <c r="J101" s="54">
        <v>40735</v>
      </c>
      <c r="K101" s="212">
        <f t="shared" si="13"/>
        <v>88.700586726221715</v>
      </c>
      <c r="L101" s="208">
        <f t="shared" si="13"/>
        <v>39.122751414219991</v>
      </c>
    </row>
    <row r="102" spans="1:12" ht="16.5" customHeight="1" x14ac:dyDescent="0.25">
      <c r="A102" s="58" t="s">
        <v>109</v>
      </c>
      <c r="B102" s="59"/>
      <c r="C102" s="60"/>
      <c r="D102" s="61" t="s">
        <v>158</v>
      </c>
      <c r="E102" s="62">
        <f t="shared" ref="E102:J102" si="17">SUM(E99:E101)</f>
        <v>851773</v>
      </c>
      <c r="F102" s="63">
        <f t="shared" si="17"/>
        <v>404651</v>
      </c>
      <c r="G102" s="62">
        <f t="shared" si="17"/>
        <v>854233</v>
      </c>
      <c r="H102" s="63">
        <f t="shared" si="17"/>
        <v>104121</v>
      </c>
      <c r="I102" s="62">
        <f t="shared" si="17"/>
        <v>701788</v>
      </c>
      <c r="J102" s="63">
        <f t="shared" si="17"/>
        <v>40735</v>
      </c>
      <c r="K102" s="202">
        <f t="shared" si="13"/>
        <v>82.154166369128802</v>
      </c>
      <c r="L102" s="203">
        <f t="shared" si="13"/>
        <v>39.122751414219991</v>
      </c>
    </row>
    <row r="103" spans="1:12" ht="16.5" customHeight="1" x14ac:dyDescent="0.25">
      <c r="A103" s="64" t="s">
        <v>111</v>
      </c>
      <c r="B103" s="65"/>
      <c r="C103" s="66"/>
      <c r="D103" s="67" t="s">
        <v>159</v>
      </c>
      <c r="E103" s="68"/>
      <c r="F103" s="69"/>
      <c r="G103" s="68"/>
      <c r="H103" s="69"/>
      <c r="I103" s="68"/>
      <c r="J103" s="69"/>
      <c r="K103" s="204"/>
      <c r="L103" s="205"/>
    </row>
    <row r="104" spans="1:12" ht="16.5" customHeight="1" x14ac:dyDescent="0.25">
      <c r="A104" s="49"/>
      <c r="B104" s="50">
        <v>1</v>
      </c>
      <c r="C104" s="51"/>
      <c r="D104" s="52" t="s">
        <v>160</v>
      </c>
      <c r="E104" s="214">
        <v>112400</v>
      </c>
      <c r="F104" s="215">
        <v>0</v>
      </c>
      <c r="G104" s="214">
        <v>102915</v>
      </c>
      <c r="H104" s="215">
        <v>0</v>
      </c>
      <c r="I104" s="53">
        <v>59135</v>
      </c>
      <c r="J104" s="54">
        <v>0</v>
      </c>
      <c r="K104" s="212">
        <f t="shared" si="13"/>
        <v>57.460039838701839</v>
      </c>
      <c r="L104" s="208"/>
    </row>
    <row r="105" spans="1:12" ht="16.5" customHeight="1" x14ac:dyDescent="0.25">
      <c r="A105" s="49"/>
      <c r="B105" s="50">
        <v>2</v>
      </c>
      <c r="C105" s="51"/>
      <c r="D105" s="52" t="s">
        <v>161</v>
      </c>
      <c r="E105" s="214">
        <v>44600</v>
      </c>
      <c r="F105" s="215">
        <v>0</v>
      </c>
      <c r="G105" s="214">
        <v>30000</v>
      </c>
      <c r="H105" s="215">
        <v>0</v>
      </c>
      <c r="I105" s="53">
        <v>16920</v>
      </c>
      <c r="J105" s="54">
        <v>0</v>
      </c>
      <c r="K105" s="212">
        <f t="shared" si="13"/>
        <v>56.399999999999991</v>
      </c>
      <c r="L105" s="208"/>
    </row>
    <row r="106" spans="1:12" ht="16.5" customHeight="1" x14ac:dyDescent="0.25">
      <c r="A106" s="49"/>
      <c r="B106" s="50">
        <v>3</v>
      </c>
      <c r="C106" s="51"/>
      <c r="D106" s="52" t="s">
        <v>162</v>
      </c>
      <c r="E106" s="214">
        <v>44100</v>
      </c>
      <c r="F106" s="215">
        <v>0</v>
      </c>
      <c r="G106" s="214">
        <v>44100</v>
      </c>
      <c r="H106" s="215">
        <v>0</v>
      </c>
      <c r="I106" s="53">
        <v>36883</v>
      </c>
      <c r="J106" s="54">
        <v>0</v>
      </c>
      <c r="K106" s="212">
        <f t="shared" si="13"/>
        <v>83.634920634920633</v>
      </c>
      <c r="L106" s="208"/>
    </row>
    <row r="107" spans="1:12" ht="16.5" customHeight="1" x14ac:dyDescent="0.25">
      <c r="A107" s="49"/>
      <c r="B107" s="50">
        <v>4</v>
      </c>
      <c r="C107" s="51"/>
      <c r="D107" s="52" t="s">
        <v>163</v>
      </c>
      <c r="E107" s="214">
        <v>11000</v>
      </c>
      <c r="F107" s="215">
        <v>0</v>
      </c>
      <c r="G107" s="214">
        <v>11000</v>
      </c>
      <c r="H107" s="215">
        <v>0</v>
      </c>
      <c r="I107" s="53">
        <v>4945</v>
      </c>
      <c r="J107" s="54">
        <v>0</v>
      </c>
      <c r="K107" s="212">
        <f t="shared" si="13"/>
        <v>44.954545454545453</v>
      </c>
      <c r="L107" s="208"/>
    </row>
    <row r="108" spans="1:12" ht="16.5" customHeight="1" thickBot="1" x14ac:dyDescent="0.3">
      <c r="A108" s="49"/>
      <c r="B108" s="50">
        <v>5</v>
      </c>
      <c r="C108" s="51"/>
      <c r="D108" s="102" t="s">
        <v>164</v>
      </c>
      <c r="E108" s="218">
        <v>110500</v>
      </c>
      <c r="F108" s="219">
        <v>0</v>
      </c>
      <c r="G108" s="218">
        <v>368786</v>
      </c>
      <c r="H108" s="219">
        <v>0</v>
      </c>
      <c r="I108" s="103">
        <v>321721</v>
      </c>
      <c r="J108" s="104">
        <v>0</v>
      </c>
      <c r="K108" s="276">
        <f t="shared" si="13"/>
        <v>87.237856100828125</v>
      </c>
      <c r="L108" s="277"/>
    </row>
    <row r="109" spans="1:12" ht="5.0999999999999996" customHeight="1" x14ac:dyDescent="0.25">
      <c r="A109" s="281"/>
      <c r="B109" s="282"/>
      <c r="C109" s="281"/>
      <c r="D109" s="283"/>
      <c r="E109" s="55"/>
      <c r="F109" s="55"/>
      <c r="G109" s="55"/>
      <c r="H109" s="55"/>
      <c r="I109" s="55"/>
      <c r="J109" s="55"/>
      <c r="K109" s="284"/>
      <c r="L109" s="284"/>
    </row>
    <row r="110" spans="1:12" s="81" customFormat="1" ht="22.15" customHeight="1" x14ac:dyDescent="0.35">
      <c r="A110" s="576" t="s">
        <v>245</v>
      </c>
      <c r="B110" s="576"/>
      <c r="C110" s="576"/>
      <c r="D110" s="576"/>
      <c r="E110" s="576"/>
      <c r="F110" s="576"/>
      <c r="G110" s="576"/>
      <c r="H110" s="576"/>
      <c r="I110" s="576"/>
      <c r="J110" s="576"/>
      <c r="K110" s="576"/>
      <c r="L110" s="576"/>
    </row>
    <row r="111" spans="1:12" s="81" customFormat="1" ht="30" customHeight="1" thickBot="1" x14ac:dyDescent="0.3">
      <c r="A111" s="77"/>
      <c r="B111" s="78"/>
      <c r="C111" s="77"/>
      <c r="D111" s="79"/>
      <c r="E111" s="82"/>
      <c r="F111" s="82"/>
      <c r="G111" s="82"/>
      <c r="H111" s="40"/>
      <c r="I111" s="82"/>
      <c r="J111" s="40"/>
      <c r="K111" s="82"/>
      <c r="L111" s="40" t="s">
        <v>165</v>
      </c>
    </row>
    <row r="112" spans="1:12" ht="32.1" customHeight="1" thickBot="1" x14ac:dyDescent="0.25">
      <c r="A112" s="577" t="s">
        <v>55</v>
      </c>
      <c r="B112" s="578"/>
      <c r="C112" s="579"/>
      <c r="D112" s="583" t="s">
        <v>56</v>
      </c>
      <c r="E112" s="585" t="s">
        <v>53</v>
      </c>
      <c r="F112" s="586"/>
      <c r="G112" s="585" t="s">
        <v>244</v>
      </c>
      <c r="H112" s="586"/>
      <c r="I112" s="585" t="s">
        <v>246</v>
      </c>
      <c r="J112" s="586"/>
      <c r="K112" s="585" t="s">
        <v>238</v>
      </c>
      <c r="L112" s="586"/>
    </row>
    <row r="113" spans="1:12" ht="32.1" customHeight="1" thickBot="1" x14ac:dyDescent="0.25">
      <c r="A113" s="580"/>
      <c r="B113" s="581"/>
      <c r="C113" s="582"/>
      <c r="D113" s="584"/>
      <c r="E113" s="41" t="s">
        <v>57</v>
      </c>
      <c r="F113" s="42" t="s">
        <v>58</v>
      </c>
      <c r="G113" s="41" t="s">
        <v>57</v>
      </c>
      <c r="H113" s="42" t="s">
        <v>58</v>
      </c>
      <c r="I113" s="41" t="s">
        <v>57</v>
      </c>
      <c r="J113" s="42" t="s">
        <v>58</v>
      </c>
      <c r="K113" s="41" t="s">
        <v>57</v>
      </c>
      <c r="L113" s="42" t="s">
        <v>58</v>
      </c>
    </row>
    <row r="114" spans="1:12" s="56" customFormat="1" ht="16.5" customHeight="1" x14ac:dyDescent="0.25">
      <c r="A114" s="105"/>
      <c r="B114" s="106">
        <v>6</v>
      </c>
      <c r="C114" s="107"/>
      <c r="D114" s="108" t="s">
        <v>166</v>
      </c>
      <c r="E114" s="220"/>
      <c r="F114" s="221"/>
      <c r="G114" s="220"/>
      <c r="H114" s="221"/>
      <c r="I114" s="109"/>
      <c r="J114" s="110"/>
      <c r="K114" s="211"/>
      <c r="L114" s="209"/>
    </row>
    <row r="115" spans="1:12" ht="16.5" customHeight="1" x14ac:dyDescent="0.25">
      <c r="A115" s="49"/>
      <c r="B115" s="50"/>
      <c r="C115" s="51" t="s">
        <v>59</v>
      </c>
      <c r="D115" s="52" t="s">
        <v>167</v>
      </c>
      <c r="E115" s="214">
        <v>1454701</v>
      </c>
      <c r="F115" s="215">
        <v>0</v>
      </c>
      <c r="G115" s="214">
        <v>1533206</v>
      </c>
      <c r="H115" s="215">
        <v>0</v>
      </c>
      <c r="I115" s="53">
        <v>1518418</v>
      </c>
      <c r="J115" s="54">
        <v>0</v>
      </c>
      <c r="K115" s="212">
        <f t="shared" ref="K115:L125" si="18">I115/G115*100</f>
        <v>99.035485120720892</v>
      </c>
      <c r="L115" s="208"/>
    </row>
    <row r="116" spans="1:12" s="70" customFormat="1" ht="16.5" customHeight="1" x14ac:dyDescent="0.25">
      <c r="A116" s="49"/>
      <c r="B116" s="50"/>
      <c r="C116" s="51" t="s">
        <v>64</v>
      </c>
      <c r="D116" s="52" t="s">
        <v>168</v>
      </c>
      <c r="E116" s="214">
        <v>189792</v>
      </c>
      <c r="F116" s="215">
        <v>14000</v>
      </c>
      <c r="G116" s="214">
        <v>209835</v>
      </c>
      <c r="H116" s="215">
        <v>14000</v>
      </c>
      <c r="I116" s="53">
        <v>207388</v>
      </c>
      <c r="J116" s="54">
        <v>0</v>
      </c>
      <c r="K116" s="212">
        <f t="shared" si="18"/>
        <v>98.8338456406224</v>
      </c>
      <c r="L116" s="208">
        <f t="shared" si="18"/>
        <v>0</v>
      </c>
    </row>
    <row r="117" spans="1:12" ht="16.5" customHeight="1" x14ac:dyDescent="0.25">
      <c r="A117" s="49"/>
      <c r="B117" s="50">
        <v>7</v>
      </c>
      <c r="C117" s="51"/>
      <c r="D117" s="52" t="s">
        <v>169</v>
      </c>
      <c r="E117" s="214">
        <v>25000</v>
      </c>
      <c r="F117" s="215">
        <v>0</v>
      </c>
      <c r="G117" s="214">
        <v>18000</v>
      </c>
      <c r="H117" s="215">
        <v>0</v>
      </c>
      <c r="I117" s="53">
        <v>4306</v>
      </c>
      <c r="J117" s="54">
        <v>0</v>
      </c>
      <c r="K117" s="212">
        <f t="shared" si="18"/>
        <v>23.922222222222224</v>
      </c>
      <c r="L117" s="208"/>
    </row>
    <row r="118" spans="1:12" ht="16.5" customHeight="1" x14ac:dyDescent="0.25">
      <c r="A118" s="58" t="s">
        <v>111</v>
      </c>
      <c r="B118" s="59"/>
      <c r="C118" s="60"/>
      <c r="D118" s="61" t="s">
        <v>170</v>
      </c>
      <c r="E118" s="62">
        <f>SUM(E104+E105+E106+E107+E108+E115+E116+E117)</f>
        <v>1992093</v>
      </c>
      <c r="F118" s="63">
        <f>SUM(F104+F105+F106+F107+F108+F115+F116+F117)</f>
        <v>14000</v>
      </c>
      <c r="G118" s="62">
        <f t="shared" ref="G118:J118" si="19">SUM(G104+G105+G106+G107+G108+G115+G116+G117)</f>
        <v>2317842</v>
      </c>
      <c r="H118" s="63">
        <f t="shared" si="19"/>
        <v>14000</v>
      </c>
      <c r="I118" s="62">
        <f t="shared" si="19"/>
        <v>2169716</v>
      </c>
      <c r="J118" s="63">
        <f t="shared" si="19"/>
        <v>0</v>
      </c>
      <c r="K118" s="202">
        <f t="shared" si="18"/>
        <v>93.609314181035643</v>
      </c>
      <c r="L118" s="203">
        <f t="shared" si="18"/>
        <v>0</v>
      </c>
    </row>
    <row r="119" spans="1:12" ht="16.5" customHeight="1" x14ac:dyDescent="0.25">
      <c r="A119" s="64" t="s">
        <v>113</v>
      </c>
      <c r="B119" s="65"/>
      <c r="C119" s="66"/>
      <c r="D119" s="67" t="s">
        <v>171</v>
      </c>
      <c r="E119" s="68"/>
      <c r="F119" s="69"/>
      <c r="G119" s="68"/>
      <c r="H119" s="69"/>
      <c r="I119" s="68"/>
      <c r="J119" s="69"/>
      <c r="K119" s="204"/>
      <c r="L119" s="205"/>
    </row>
    <row r="120" spans="1:12" ht="16.5" customHeight="1" x14ac:dyDescent="0.25">
      <c r="A120" s="49"/>
      <c r="B120" s="50">
        <v>1</v>
      </c>
      <c r="C120" s="51"/>
      <c r="D120" s="52" t="s">
        <v>172</v>
      </c>
      <c r="E120" s="214">
        <v>87200</v>
      </c>
      <c r="F120" s="215">
        <v>0</v>
      </c>
      <c r="G120" s="214">
        <v>53027</v>
      </c>
      <c r="H120" s="215">
        <v>0</v>
      </c>
      <c r="I120" s="53">
        <v>14888</v>
      </c>
      <c r="J120" s="54">
        <v>0</v>
      </c>
      <c r="K120" s="212">
        <f t="shared" si="18"/>
        <v>28.076263035811944</v>
      </c>
      <c r="L120" s="208"/>
    </row>
    <row r="121" spans="1:12" ht="16.5" customHeight="1" x14ac:dyDescent="0.25">
      <c r="A121" s="49"/>
      <c r="B121" s="50">
        <v>2</v>
      </c>
      <c r="C121" s="51"/>
      <c r="D121" s="52" t="s">
        <v>173</v>
      </c>
      <c r="E121" s="214">
        <v>43850</v>
      </c>
      <c r="F121" s="215">
        <v>20000</v>
      </c>
      <c r="G121" s="214">
        <v>49158</v>
      </c>
      <c r="H121" s="215">
        <v>20000</v>
      </c>
      <c r="I121" s="53">
        <v>28495</v>
      </c>
      <c r="J121" s="54">
        <v>0</v>
      </c>
      <c r="K121" s="212">
        <f t="shared" si="18"/>
        <v>57.966149965417635</v>
      </c>
      <c r="L121" s="208">
        <f t="shared" si="18"/>
        <v>0</v>
      </c>
    </row>
    <row r="122" spans="1:12" ht="16.5" customHeight="1" x14ac:dyDescent="0.25">
      <c r="A122" s="49"/>
      <c r="B122" s="50"/>
      <c r="C122" s="51"/>
      <c r="D122" s="111"/>
      <c r="E122" s="214"/>
      <c r="F122" s="215"/>
      <c r="G122" s="214"/>
      <c r="H122" s="215"/>
      <c r="I122" s="53"/>
      <c r="J122" s="54"/>
      <c r="K122" s="212"/>
      <c r="L122" s="208"/>
    </row>
    <row r="123" spans="1:12" ht="16.5" customHeight="1" x14ac:dyDescent="0.25">
      <c r="A123" s="58" t="s">
        <v>113</v>
      </c>
      <c r="B123" s="59"/>
      <c r="C123" s="60"/>
      <c r="D123" s="61" t="s">
        <v>174</v>
      </c>
      <c r="E123" s="62">
        <f t="shared" ref="E123:F123" si="20">SUM(E120:E122)</f>
        <v>131050</v>
      </c>
      <c r="F123" s="63">
        <f t="shared" si="20"/>
        <v>20000</v>
      </c>
      <c r="G123" s="62">
        <f t="shared" ref="G123:J123" si="21">SUM(G120:G122)</f>
        <v>102185</v>
      </c>
      <c r="H123" s="63">
        <f t="shared" si="21"/>
        <v>20000</v>
      </c>
      <c r="I123" s="62">
        <f t="shared" si="21"/>
        <v>43383</v>
      </c>
      <c r="J123" s="63">
        <f t="shared" si="21"/>
        <v>0</v>
      </c>
      <c r="K123" s="202">
        <f t="shared" si="18"/>
        <v>42.45535058961687</v>
      </c>
      <c r="L123" s="203">
        <f t="shared" si="18"/>
        <v>0</v>
      </c>
    </row>
    <row r="124" spans="1:12" ht="16.5" customHeight="1" x14ac:dyDescent="0.25">
      <c r="A124" s="112"/>
      <c r="B124" s="113"/>
      <c r="C124" s="114"/>
      <c r="D124" s="115"/>
      <c r="E124" s="222"/>
      <c r="F124" s="223"/>
      <c r="G124" s="222"/>
      <c r="H124" s="223"/>
      <c r="I124" s="116"/>
      <c r="J124" s="117"/>
      <c r="K124" s="213"/>
      <c r="L124" s="210"/>
    </row>
    <row r="125" spans="1:12" ht="23.1" customHeight="1" thickBot="1" x14ac:dyDescent="0.3">
      <c r="A125" s="593" t="s">
        <v>175</v>
      </c>
      <c r="B125" s="594"/>
      <c r="C125" s="594"/>
      <c r="D125" s="595"/>
      <c r="E125" s="75">
        <f t="shared" ref="E125:J125" si="22">SUM(E15+E19+E25+E33+E63+E71+E90+E97+E102+E118+E123)</f>
        <v>40429495</v>
      </c>
      <c r="F125" s="76">
        <f t="shared" si="22"/>
        <v>2485392</v>
      </c>
      <c r="G125" s="75">
        <f t="shared" si="22"/>
        <v>43848276</v>
      </c>
      <c r="H125" s="76">
        <f t="shared" si="22"/>
        <v>2843323</v>
      </c>
      <c r="I125" s="75">
        <f t="shared" si="22"/>
        <v>41076520.620000005</v>
      </c>
      <c r="J125" s="76">
        <f t="shared" si="22"/>
        <v>1562086</v>
      </c>
      <c r="K125" s="206">
        <f t="shared" si="18"/>
        <v>93.678758590189503</v>
      </c>
      <c r="L125" s="207">
        <f t="shared" si="18"/>
        <v>54.938745967306566</v>
      </c>
    </row>
    <row r="126" spans="1:12" ht="18.95" customHeight="1" x14ac:dyDescent="0.25">
      <c r="E126" s="118"/>
      <c r="F126" s="119"/>
      <c r="G126" s="119"/>
      <c r="H126" s="118"/>
      <c r="I126" s="278"/>
      <c r="J126" s="279"/>
      <c r="K126" s="119"/>
      <c r="L126" s="118"/>
    </row>
    <row r="127" spans="1:12" ht="18.95" customHeight="1" thickBot="1" x14ac:dyDescent="0.25">
      <c r="E127" s="118"/>
      <c r="F127" s="119"/>
      <c r="G127" s="119"/>
      <c r="H127" s="118"/>
      <c r="I127" s="119"/>
      <c r="J127" s="118"/>
      <c r="K127" s="119"/>
      <c r="L127" s="118"/>
    </row>
    <row r="128" spans="1:12" ht="32.1" customHeight="1" thickBot="1" x14ac:dyDescent="0.25">
      <c r="A128" s="596" t="s">
        <v>176</v>
      </c>
      <c r="B128" s="597"/>
      <c r="C128" s="597"/>
      <c r="D128" s="598"/>
      <c r="E128" s="585" t="s">
        <v>53</v>
      </c>
      <c r="F128" s="586"/>
      <c r="G128" s="585" t="s">
        <v>244</v>
      </c>
      <c r="H128" s="586"/>
      <c r="I128" s="585" t="s">
        <v>246</v>
      </c>
      <c r="J128" s="586"/>
      <c r="K128" s="585" t="s">
        <v>238</v>
      </c>
      <c r="L128" s="586"/>
    </row>
    <row r="129" spans="1:12" ht="16.5" customHeight="1" x14ac:dyDescent="0.25">
      <c r="A129" s="120">
        <v>4</v>
      </c>
      <c r="B129" s="121"/>
      <c r="C129" s="122"/>
      <c r="D129" s="123" t="s">
        <v>83</v>
      </c>
      <c r="E129" s="587">
        <v>35000</v>
      </c>
      <c r="F129" s="588"/>
      <c r="G129" s="587">
        <v>55545</v>
      </c>
      <c r="H129" s="588"/>
      <c r="I129" s="589">
        <v>54881</v>
      </c>
      <c r="J129" s="590"/>
      <c r="K129" s="591">
        <f>I129/G129*100</f>
        <v>98.804572868845071</v>
      </c>
      <c r="L129" s="592"/>
    </row>
    <row r="130" spans="1:12" ht="16.5" customHeight="1" x14ac:dyDescent="0.25">
      <c r="A130" s="120">
        <v>5</v>
      </c>
      <c r="B130" s="121"/>
      <c r="C130" s="122"/>
      <c r="D130" s="123" t="s">
        <v>93</v>
      </c>
      <c r="E130" s="605">
        <v>972618</v>
      </c>
      <c r="F130" s="606"/>
      <c r="G130" s="605">
        <v>1972618</v>
      </c>
      <c r="H130" s="606"/>
      <c r="I130" s="607">
        <v>1972617</v>
      </c>
      <c r="J130" s="608"/>
      <c r="K130" s="609">
        <f t="shared" ref="K130:K134" si="23">I130/G130*100</f>
        <v>99.999949305947737</v>
      </c>
      <c r="L130" s="610"/>
    </row>
    <row r="131" spans="1:12" ht="16.5" customHeight="1" x14ac:dyDescent="0.25">
      <c r="A131" s="120">
        <v>7</v>
      </c>
      <c r="B131" s="121"/>
      <c r="C131" s="122"/>
      <c r="D131" s="123" t="s">
        <v>133</v>
      </c>
      <c r="E131" s="599">
        <v>39000</v>
      </c>
      <c r="F131" s="600"/>
      <c r="G131" s="599">
        <v>69223</v>
      </c>
      <c r="H131" s="600"/>
      <c r="I131" s="601">
        <v>67999</v>
      </c>
      <c r="J131" s="602"/>
      <c r="K131" s="603">
        <f t="shared" si="23"/>
        <v>98.231801568842727</v>
      </c>
      <c r="L131" s="604"/>
    </row>
    <row r="132" spans="1:12" ht="16.5" customHeight="1" x14ac:dyDescent="0.25">
      <c r="A132" s="120">
        <v>9</v>
      </c>
      <c r="B132" s="121"/>
      <c r="C132" s="122"/>
      <c r="D132" s="123" t="s">
        <v>154</v>
      </c>
      <c r="E132" s="599">
        <v>4314</v>
      </c>
      <c r="F132" s="600"/>
      <c r="G132" s="599">
        <v>4314</v>
      </c>
      <c r="H132" s="600"/>
      <c r="I132" s="601">
        <v>4313</v>
      </c>
      <c r="J132" s="602"/>
      <c r="K132" s="603">
        <f t="shared" ref="K132" si="24">I132/G132*100</f>
        <v>99.976819656930928</v>
      </c>
      <c r="L132" s="604"/>
    </row>
    <row r="133" spans="1:12" ht="16.5" customHeight="1" x14ac:dyDescent="0.25">
      <c r="A133" s="266"/>
      <c r="B133" s="267"/>
      <c r="C133" s="268"/>
      <c r="D133" s="280" t="s">
        <v>336</v>
      </c>
      <c r="E133" s="599">
        <v>0</v>
      </c>
      <c r="F133" s="600"/>
      <c r="G133" s="599">
        <v>0</v>
      </c>
      <c r="H133" s="600"/>
      <c r="I133" s="601">
        <v>18192</v>
      </c>
      <c r="J133" s="602"/>
      <c r="K133" s="603"/>
      <c r="L133" s="604"/>
    </row>
    <row r="134" spans="1:12" ht="23.1" customHeight="1" thickBot="1" x14ac:dyDescent="0.3">
      <c r="A134" s="611" t="s">
        <v>175</v>
      </c>
      <c r="B134" s="612"/>
      <c r="C134" s="612"/>
      <c r="D134" s="613"/>
      <c r="E134" s="614">
        <f>SUM(E129:E133)</f>
        <v>1050932</v>
      </c>
      <c r="F134" s="615"/>
      <c r="G134" s="614">
        <f>SUM(G129:G133)</f>
        <v>2101700</v>
      </c>
      <c r="H134" s="615"/>
      <c r="I134" s="614">
        <f>SUM(I129:I133)</f>
        <v>2118002</v>
      </c>
      <c r="J134" s="615"/>
      <c r="K134" s="616">
        <f t="shared" si="23"/>
        <v>100.77565780082791</v>
      </c>
      <c r="L134" s="617"/>
    </row>
    <row r="135" spans="1:12" s="56" customFormat="1" ht="18.95" customHeight="1" x14ac:dyDescent="0.25">
      <c r="A135" s="124"/>
      <c r="B135" s="124"/>
      <c r="C135" s="124"/>
      <c r="D135" s="124"/>
      <c r="E135" s="265"/>
      <c r="F135" s="265"/>
      <c r="G135" s="125"/>
      <c r="H135" s="125"/>
      <c r="I135" s="125"/>
      <c r="J135" s="125"/>
      <c r="K135" s="125"/>
      <c r="L135" s="125"/>
    </row>
    <row r="136" spans="1:12" ht="18.95" customHeight="1" thickBot="1" x14ac:dyDescent="0.25">
      <c r="E136" s="126"/>
      <c r="F136" s="126"/>
      <c r="G136" s="126"/>
      <c r="H136" s="126"/>
      <c r="I136" s="126"/>
      <c r="J136" s="126"/>
      <c r="K136" s="126"/>
      <c r="L136" s="126"/>
    </row>
    <row r="137" spans="1:12" ht="35.450000000000003" customHeight="1" thickBot="1" x14ac:dyDescent="0.25">
      <c r="A137" s="596" t="s">
        <v>177</v>
      </c>
      <c r="B137" s="597"/>
      <c r="C137" s="597"/>
      <c r="D137" s="598"/>
      <c r="E137" s="585" t="s">
        <v>53</v>
      </c>
      <c r="F137" s="586"/>
      <c r="G137" s="585" t="s">
        <v>244</v>
      </c>
      <c r="H137" s="586"/>
      <c r="I137" s="585" t="s">
        <v>246</v>
      </c>
      <c r="J137" s="586"/>
      <c r="K137" s="585" t="s">
        <v>238</v>
      </c>
      <c r="L137" s="586"/>
    </row>
    <row r="138" spans="1:12" ht="19.5" customHeight="1" x14ac:dyDescent="0.2">
      <c r="A138" s="618" t="s">
        <v>57</v>
      </c>
      <c r="B138" s="619"/>
      <c r="C138" s="619"/>
      <c r="D138" s="620"/>
      <c r="E138" s="587">
        <f>SUM(E125)</f>
        <v>40429495</v>
      </c>
      <c r="F138" s="588" t="e">
        <f>SUM(#REF!+#REF!)</f>
        <v>#REF!</v>
      </c>
      <c r="G138" s="587">
        <f>SUM(G125)</f>
        <v>43848276</v>
      </c>
      <c r="H138" s="588" t="e">
        <f>SUM(#REF!+#REF!)</f>
        <v>#REF!</v>
      </c>
      <c r="I138" s="589">
        <f>SUM(I125)</f>
        <v>41076520.620000005</v>
      </c>
      <c r="J138" s="590" t="e">
        <f>SUM(#REF!+#REF!)</f>
        <v>#REF!</v>
      </c>
      <c r="K138" s="591">
        <f t="shared" ref="K138:K140" si="25">I138/G138*100</f>
        <v>93.678758590189503</v>
      </c>
      <c r="L138" s="592"/>
    </row>
    <row r="139" spans="1:12" ht="19.5" customHeight="1" x14ac:dyDescent="0.2">
      <c r="A139" s="621" t="s">
        <v>178</v>
      </c>
      <c r="B139" s="622"/>
      <c r="C139" s="622"/>
      <c r="D139" s="623"/>
      <c r="E139" s="599">
        <f>SUM(F125)</f>
        <v>2485392</v>
      </c>
      <c r="F139" s="600" t="e">
        <f>SUM(#REF!+#REF!)</f>
        <v>#REF!</v>
      </c>
      <c r="G139" s="599">
        <f>SUM(H125)</f>
        <v>2843323</v>
      </c>
      <c r="H139" s="600" t="e">
        <f>SUM(#REF!+#REF!)</f>
        <v>#REF!</v>
      </c>
      <c r="I139" s="601">
        <f>SUM(J125)</f>
        <v>1562086</v>
      </c>
      <c r="J139" s="602" t="e">
        <f>SUM(#REF!+#REF!)</f>
        <v>#REF!</v>
      </c>
      <c r="K139" s="603">
        <f t="shared" si="25"/>
        <v>54.938745967306566</v>
      </c>
      <c r="L139" s="604"/>
    </row>
    <row r="140" spans="1:12" ht="19.5" customHeight="1" x14ac:dyDescent="0.2">
      <c r="A140" s="621" t="s">
        <v>176</v>
      </c>
      <c r="B140" s="622"/>
      <c r="C140" s="622"/>
      <c r="D140" s="623"/>
      <c r="E140" s="599">
        <f>SUM(E134)</f>
        <v>1050932</v>
      </c>
      <c r="F140" s="600" t="e">
        <f>SUM(#REF!+#REF!)</f>
        <v>#REF!</v>
      </c>
      <c r="G140" s="599">
        <f>SUM(G134)</f>
        <v>2101700</v>
      </c>
      <c r="H140" s="600" t="e">
        <f>SUM(#REF!+#REF!)</f>
        <v>#REF!</v>
      </c>
      <c r="I140" s="601">
        <f>SUM(I134)</f>
        <v>2118002</v>
      </c>
      <c r="J140" s="602" t="e">
        <f>SUM(#REF!+#REF!)</f>
        <v>#REF!</v>
      </c>
      <c r="K140" s="603">
        <f t="shared" si="25"/>
        <v>100.77565780082791</v>
      </c>
      <c r="L140" s="604"/>
    </row>
    <row r="141" spans="1:12" ht="25.5" customHeight="1" thickBot="1" x14ac:dyDescent="0.3">
      <c r="A141" s="625" t="s">
        <v>179</v>
      </c>
      <c r="B141" s="626"/>
      <c r="C141" s="626"/>
      <c r="D141" s="627"/>
      <c r="E141" s="614">
        <f>E138+E139+E140</f>
        <v>43965819</v>
      </c>
      <c r="F141" s="615"/>
      <c r="G141" s="614">
        <f>G138+G139+G140</f>
        <v>48793299</v>
      </c>
      <c r="H141" s="615"/>
      <c r="I141" s="614">
        <f t="shared" ref="I141" si="26">I138+I139+I140</f>
        <v>44756608.620000005</v>
      </c>
      <c r="J141" s="615"/>
      <c r="K141" s="616">
        <f>I141/G141*100</f>
        <v>91.726957466024189</v>
      </c>
      <c r="L141" s="617"/>
    </row>
    <row r="142" spans="1:12" s="56" customFormat="1" ht="5.0999999999999996" customHeight="1" x14ac:dyDescent="0.25">
      <c r="A142" s="624"/>
      <c r="B142" s="624"/>
      <c r="C142" s="624"/>
      <c r="D142" s="624"/>
      <c r="E142" s="125"/>
      <c r="F142" s="125"/>
      <c r="G142" s="125"/>
      <c r="H142" s="125"/>
      <c r="I142" s="125"/>
      <c r="J142" s="125"/>
      <c r="K142" s="125"/>
      <c r="L142" s="125"/>
    </row>
  </sheetData>
  <sheetProtection sheet="1" objects="1" scenarios="1"/>
  <mergeCells count="86">
    <mergeCell ref="A142:D142"/>
    <mergeCell ref="A141:D141"/>
    <mergeCell ref="E141:F141"/>
    <mergeCell ref="G141:H141"/>
    <mergeCell ref="I141:J141"/>
    <mergeCell ref="K141:L141"/>
    <mergeCell ref="A140:D140"/>
    <mergeCell ref="E140:F140"/>
    <mergeCell ref="G140:H140"/>
    <mergeCell ref="I140:J140"/>
    <mergeCell ref="K140:L140"/>
    <mergeCell ref="A139:D139"/>
    <mergeCell ref="E139:F139"/>
    <mergeCell ref="G139:H139"/>
    <mergeCell ref="I139:J139"/>
    <mergeCell ref="K139:L139"/>
    <mergeCell ref="A138:D138"/>
    <mergeCell ref="E138:F138"/>
    <mergeCell ref="G138:H138"/>
    <mergeCell ref="I138:J138"/>
    <mergeCell ref="K138:L138"/>
    <mergeCell ref="A137:D137"/>
    <mergeCell ref="E137:F137"/>
    <mergeCell ref="G137:H137"/>
    <mergeCell ref="I137:J137"/>
    <mergeCell ref="K137:L137"/>
    <mergeCell ref="A134:D134"/>
    <mergeCell ref="E134:F134"/>
    <mergeCell ref="G134:H134"/>
    <mergeCell ref="I134:J134"/>
    <mergeCell ref="K134:L134"/>
    <mergeCell ref="E133:F133"/>
    <mergeCell ref="G133:H133"/>
    <mergeCell ref="I133:J133"/>
    <mergeCell ref="K133:L133"/>
    <mergeCell ref="E132:F132"/>
    <mergeCell ref="G132:H132"/>
    <mergeCell ref="I132:J132"/>
    <mergeCell ref="K132:L132"/>
    <mergeCell ref="E131:F131"/>
    <mergeCell ref="G131:H131"/>
    <mergeCell ref="I131:J131"/>
    <mergeCell ref="K131:L131"/>
    <mergeCell ref="E130:F130"/>
    <mergeCell ref="G130:H130"/>
    <mergeCell ref="I130:J130"/>
    <mergeCell ref="K130:L130"/>
    <mergeCell ref="E129:F129"/>
    <mergeCell ref="G129:H129"/>
    <mergeCell ref="I129:J129"/>
    <mergeCell ref="K129:L129"/>
    <mergeCell ref="A125:D125"/>
    <mergeCell ref="A128:D128"/>
    <mergeCell ref="E128:F128"/>
    <mergeCell ref="G128:H128"/>
    <mergeCell ref="I128:J128"/>
    <mergeCell ref="K128:L128"/>
    <mergeCell ref="A110:L110"/>
    <mergeCell ref="A112:C113"/>
    <mergeCell ref="D112:D113"/>
    <mergeCell ref="E112:F112"/>
    <mergeCell ref="G112:H112"/>
    <mergeCell ref="I112:J112"/>
    <mergeCell ref="K112:L112"/>
    <mergeCell ref="A73:L73"/>
    <mergeCell ref="A75:C76"/>
    <mergeCell ref="D75:D76"/>
    <mergeCell ref="E75:F75"/>
    <mergeCell ref="G75:H75"/>
    <mergeCell ref="I75:J75"/>
    <mergeCell ref="K75:L75"/>
    <mergeCell ref="A35:L35"/>
    <mergeCell ref="A37:C38"/>
    <mergeCell ref="D37:D38"/>
    <mergeCell ref="E37:F37"/>
    <mergeCell ref="G37:H37"/>
    <mergeCell ref="I37:J37"/>
    <mergeCell ref="K37:L37"/>
    <mergeCell ref="A1:L1"/>
    <mergeCell ref="D3:F3"/>
    <mergeCell ref="A4:C5"/>
    <mergeCell ref="D4:D5"/>
    <mergeCell ref="E4:F4"/>
    <mergeCell ref="G4:H4"/>
    <mergeCell ref="I4:J4"/>
    <mergeCell ref="K4:L4"/>
  </mergeCells>
  <pageMargins left="0.62992125984251968" right="0.43307086614173229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2"/>
  <sheetViews>
    <sheetView topLeftCell="A61" zoomScale="70" zoomScaleNormal="70" workbookViewId="0">
      <selection activeCell="D110" sqref="D110"/>
    </sheetView>
  </sheetViews>
  <sheetFormatPr defaultColWidth="9.140625" defaultRowHeight="12.75" x14ac:dyDescent="0.2"/>
  <cols>
    <col min="1" max="1" width="1.85546875" customWidth="1"/>
    <col min="2" max="2" width="59.7109375" customWidth="1"/>
    <col min="3" max="6" width="18.7109375" customWidth="1"/>
    <col min="7" max="7" width="11.85546875" style="127" customWidth="1"/>
    <col min="8" max="8" width="11.85546875" style="128" customWidth="1"/>
  </cols>
  <sheetData>
    <row r="2" spans="2:8" ht="23.25" x14ac:dyDescent="0.2">
      <c r="B2" s="628" t="s">
        <v>247</v>
      </c>
      <c r="C2" s="628"/>
      <c r="D2" s="628"/>
      <c r="E2" s="628"/>
      <c r="F2" s="628"/>
    </row>
    <row r="3" spans="2:8" ht="23.25" customHeight="1" x14ac:dyDescent="0.2">
      <c r="B3" s="628" t="s">
        <v>249</v>
      </c>
      <c r="C3" s="628"/>
      <c r="D3" s="628"/>
      <c r="E3" s="628"/>
      <c r="F3" s="628"/>
      <c r="G3" s="285"/>
      <c r="H3" s="80"/>
    </row>
    <row r="4" spans="2:8" ht="23.25" x14ac:dyDescent="0.2">
      <c r="B4" s="628" t="s">
        <v>180</v>
      </c>
      <c r="C4" s="628"/>
      <c r="D4" s="628"/>
      <c r="E4" s="628"/>
      <c r="F4" s="628"/>
      <c r="G4" s="285"/>
      <c r="H4" s="80"/>
    </row>
    <row r="5" spans="2:8" ht="23.25" x14ac:dyDescent="0.2">
      <c r="B5" s="628" t="s">
        <v>248</v>
      </c>
      <c r="C5" s="628"/>
      <c r="D5" s="628"/>
      <c r="E5" s="628"/>
      <c r="F5" s="628"/>
      <c r="G5" s="285"/>
      <c r="H5" s="80"/>
    </row>
    <row r="6" spans="2:8" ht="23.25" x14ac:dyDescent="0.2">
      <c r="B6" s="272"/>
      <c r="C6" s="272"/>
      <c r="D6" s="1"/>
      <c r="E6" s="1"/>
      <c r="F6" s="1"/>
    </row>
    <row r="7" spans="2:8" ht="30.75" thickBot="1" x14ac:dyDescent="0.4">
      <c r="B7" s="270"/>
      <c r="C7" s="130"/>
      <c r="D7" s="130"/>
      <c r="E7" s="82"/>
      <c r="F7" s="130" t="s">
        <v>181</v>
      </c>
      <c r="G7" s="37"/>
    </row>
    <row r="8" spans="2:8" ht="46.5" customHeight="1" thickBot="1" x14ac:dyDescent="0.25">
      <c r="B8" s="3" t="s">
        <v>0</v>
      </c>
      <c r="C8" s="183" t="s">
        <v>53</v>
      </c>
      <c r="D8" s="184" t="s">
        <v>239</v>
      </c>
      <c r="E8" s="184" t="s">
        <v>240</v>
      </c>
      <c r="F8" s="184" t="s">
        <v>238</v>
      </c>
    </row>
    <row r="9" spans="2:8" ht="21.95" customHeight="1" x14ac:dyDescent="0.25">
      <c r="B9" s="131" t="s">
        <v>182</v>
      </c>
      <c r="C9" s="225">
        <f t="shared" ref="C9:D9" si="0">SUM(C11:C15)</f>
        <v>161580</v>
      </c>
      <c r="D9" s="225">
        <f t="shared" si="0"/>
        <v>575308</v>
      </c>
      <c r="E9" s="132">
        <f t="shared" ref="E9" si="1">SUM(E11:E15)</f>
        <v>575308</v>
      </c>
      <c r="F9" s="244">
        <f>E9/D9*100</f>
        <v>100</v>
      </c>
    </row>
    <row r="10" spans="2:8" ht="21.95" customHeight="1" x14ac:dyDescent="0.25">
      <c r="B10" s="131" t="s">
        <v>183</v>
      </c>
      <c r="C10" s="225"/>
      <c r="D10" s="225"/>
      <c r="E10" s="132"/>
      <c r="F10" s="244"/>
    </row>
    <row r="11" spans="2:8" ht="21.95" customHeight="1" x14ac:dyDescent="0.25">
      <c r="B11" s="131" t="s">
        <v>184</v>
      </c>
      <c r="C11" s="225">
        <v>0</v>
      </c>
      <c r="D11" s="225">
        <v>0</v>
      </c>
      <c r="E11" s="132">
        <v>0</v>
      </c>
      <c r="F11" s="244"/>
    </row>
    <row r="12" spans="2:8" ht="21.95" customHeight="1" x14ac:dyDescent="0.25">
      <c r="B12" s="131" t="s">
        <v>185</v>
      </c>
      <c r="C12" s="225">
        <v>0</v>
      </c>
      <c r="D12" s="225">
        <v>0</v>
      </c>
      <c r="E12" s="132">
        <v>0</v>
      </c>
      <c r="F12" s="244"/>
    </row>
    <row r="13" spans="2:8" ht="21.95" customHeight="1" x14ac:dyDescent="0.25">
      <c r="B13" s="131" t="s">
        <v>186</v>
      </c>
      <c r="C13" s="225">
        <v>0</v>
      </c>
      <c r="D13" s="225">
        <v>0</v>
      </c>
      <c r="E13" s="132">
        <v>0</v>
      </c>
      <c r="F13" s="244"/>
    </row>
    <row r="14" spans="2:8" ht="21.95" customHeight="1" x14ac:dyDescent="0.25">
      <c r="B14" s="131" t="s">
        <v>187</v>
      </c>
      <c r="C14" s="225">
        <v>0</v>
      </c>
      <c r="D14" s="225">
        <v>307153</v>
      </c>
      <c r="E14" s="132">
        <v>307153</v>
      </c>
      <c r="F14" s="244">
        <f t="shared" ref="F14:F22" si="2">E14/D14*100</f>
        <v>100</v>
      </c>
    </row>
    <row r="15" spans="2:8" ht="21.95" customHeight="1" x14ac:dyDescent="0.25">
      <c r="B15" s="131" t="s">
        <v>188</v>
      </c>
      <c r="C15" s="225">
        <v>161580</v>
      </c>
      <c r="D15" s="225">
        <v>268155</v>
      </c>
      <c r="E15" s="132">
        <v>268155</v>
      </c>
      <c r="F15" s="244">
        <f t="shared" si="2"/>
        <v>100</v>
      </c>
      <c r="G15" s="133"/>
      <c r="H15" s="133"/>
    </row>
    <row r="16" spans="2:8" ht="21.95" customHeight="1" x14ac:dyDescent="0.25">
      <c r="B16" s="131"/>
      <c r="C16" s="225"/>
      <c r="D16" s="225"/>
      <c r="E16" s="132"/>
      <c r="F16" s="244"/>
      <c r="G16" s="128"/>
    </row>
    <row r="17" spans="2:8" ht="21.95" customHeight="1" x14ac:dyDescent="0.25">
      <c r="B17" s="131" t="s">
        <v>189</v>
      </c>
      <c r="C17" s="225">
        <f>SUM(C19:C19)</f>
        <v>0</v>
      </c>
      <c r="D17" s="225">
        <f>SUM(D19:D19)</f>
        <v>0</v>
      </c>
      <c r="E17" s="132">
        <f>SUM(E19:E19)</f>
        <v>0</v>
      </c>
      <c r="F17" s="244"/>
      <c r="G17" s="128"/>
    </row>
    <row r="18" spans="2:8" ht="21.95" customHeight="1" x14ac:dyDescent="0.25">
      <c r="B18" s="131"/>
      <c r="C18" s="226"/>
      <c r="D18" s="226"/>
      <c r="E18" s="134"/>
      <c r="F18" s="245"/>
      <c r="G18" s="128"/>
    </row>
    <row r="19" spans="2:8" ht="21.95" customHeight="1" x14ac:dyDescent="0.25">
      <c r="B19" s="131"/>
      <c r="C19" s="226"/>
      <c r="D19" s="226"/>
      <c r="E19" s="134"/>
      <c r="F19" s="245"/>
      <c r="G19" s="128"/>
    </row>
    <row r="20" spans="2:8" ht="21.95" customHeight="1" x14ac:dyDescent="0.2">
      <c r="B20" s="11" t="s">
        <v>190</v>
      </c>
      <c r="C20" s="227">
        <v>202250</v>
      </c>
      <c r="D20" s="227">
        <v>202250</v>
      </c>
      <c r="E20" s="135">
        <v>0</v>
      </c>
      <c r="F20" s="246">
        <f t="shared" si="2"/>
        <v>0</v>
      </c>
      <c r="G20" s="128"/>
    </row>
    <row r="21" spans="2:8" ht="21.95" customHeight="1" x14ac:dyDescent="0.2">
      <c r="B21" s="11" t="s">
        <v>179</v>
      </c>
      <c r="C21" s="228">
        <v>386710</v>
      </c>
      <c r="D21" s="228">
        <v>995599</v>
      </c>
      <c r="E21" s="136">
        <v>968525.93</v>
      </c>
      <c r="F21" s="247">
        <f t="shared" si="2"/>
        <v>97.280725472805827</v>
      </c>
      <c r="G21" s="133"/>
      <c r="H21" s="133"/>
    </row>
    <row r="22" spans="2:8" ht="21.95" customHeight="1" x14ac:dyDescent="0.2">
      <c r="B22" s="137" t="s">
        <v>255</v>
      </c>
      <c r="C22" s="228">
        <v>386710</v>
      </c>
      <c r="D22" s="228">
        <v>991283</v>
      </c>
      <c r="E22" s="136">
        <v>964209.75</v>
      </c>
      <c r="F22" s="247">
        <f t="shared" si="2"/>
        <v>97.268867719914496</v>
      </c>
      <c r="G22" s="133"/>
      <c r="H22" s="133"/>
    </row>
    <row r="23" spans="2:8" ht="21.95" customHeight="1" x14ac:dyDescent="0.2">
      <c r="B23" s="138"/>
      <c r="C23" s="229"/>
      <c r="D23" s="229"/>
      <c r="E23" s="139"/>
      <c r="F23" s="248"/>
      <c r="G23" s="133"/>
      <c r="H23" s="133"/>
    </row>
    <row r="24" spans="2:8" ht="21.95" customHeight="1" x14ac:dyDescent="0.2">
      <c r="B24" s="11" t="s">
        <v>256</v>
      </c>
      <c r="C24" s="227">
        <v>225130</v>
      </c>
      <c r="D24" s="227">
        <v>146521</v>
      </c>
      <c r="E24" s="135">
        <v>143807.54</v>
      </c>
      <c r="F24" s="246">
        <f t="shared" ref="F24" si="3">E24/D24*100</f>
        <v>98.148074337466994</v>
      </c>
      <c r="G24" s="133"/>
      <c r="H24" s="133"/>
    </row>
    <row r="25" spans="2:8" ht="21.95" customHeight="1" thickBot="1" x14ac:dyDescent="0.25">
      <c r="B25" s="286" t="s">
        <v>257</v>
      </c>
      <c r="C25" s="287">
        <v>0</v>
      </c>
      <c r="D25" s="287">
        <v>0</v>
      </c>
      <c r="E25" s="288">
        <v>-262977.61</v>
      </c>
      <c r="F25" s="289"/>
      <c r="G25" s="140"/>
      <c r="H25" s="133"/>
    </row>
    <row r="26" spans="2:8" ht="20.100000000000001" customHeight="1" x14ac:dyDescent="0.2">
      <c r="B26" s="141"/>
      <c r="C26" s="142"/>
      <c r="D26" s="142"/>
      <c r="E26" s="142"/>
      <c r="F26" s="142"/>
      <c r="G26" s="140"/>
      <c r="H26" s="133"/>
    </row>
    <row r="27" spans="2:8" ht="20.100000000000001" customHeight="1" x14ac:dyDescent="0.2">
      <c r="B27" s="141"/>
      <c r="C27" s="142"/>
      <c r="D27" s="142"/>
      <c r="E27" s="142"/>
      <c r="F27" s="142"/>
    </row>
    <row r="28" spans="2:8" ht="20.100000000000001" customHeight="1" x14ac:dyDescent="0.2">
      <c r="B28" s="141"/>
      <c r="C28" s="142"/>
      <c r="D28" s="142"/>
      <c r="E28" s="142"/>
      <c r="F28" s="142"/>
    </row>
    <row r="29" spans="2:8" ht="23.1" customHeight="1" x14ac:dyDescent="0.2">
      <c r="B29" s="628" t="s">
        <v>250</v>
      </c>
      <c r="C29" s="628"/>
      <c r="D29" s="628"/>
      <c r="E29" s="628"/>
      <c r="F29" s="628"/>
    </row>
    <row r="30" spans="2:8" ht="23.1" customHeight="1" x14ac:dyDescent="0.2">
      <c r="B30" s="628" t="s">
        <v>191</v>
      </c>
      <c r="C30" s="628"/>
      <c r="D30" s="628"/>
      <c r="E30" s="628"/>
      <c r="F30" s="628"/>
    </row>
    <row r="31" spans="2:8" ht="23.1" customHeight="1" x14ac:dyDescent="0.2">
      <c r="B31" s="628" t="s">
        <v>248</v>
      </c>
      <c r="C31" s="628"/>
      <c r="D31" s="628"/>
      <c r="E31" s="628"/>
      <c r="F31" s="628"/>
    </row>
    <row r="32" spans="2:8" ht="30.75" thickBot="1" x14ac:dyDescent="0.25">
      <c r="B32" s="270"/>
      <c r="C32" s="130"/>
      <c r="D32" s="130"/>
      <c r="E32" s="130"/>
      <c r="F32" s="130" t="s">
        <v>192</v>
      </c>
    </row>
    <row r="33" spans="2:8" ht="48.95" customHeight="1" thickBot="1" x14ac:dyDescent="0.25">
      <c r="B33" s="3" t="s">
        <v>0</v>
      </c>
      <c r="C33" s="183" t="s">
        <v>53</v>
      </c>
      <c r="D33" s="184" t="s">
        <v>239</v>
      </c>
      <c r="E33" s="184" t="s">
        <v>240</v>
      </c>
      <c r="F33" s="184" t="s">
        <v>238</v>
      </c>
      <c r="G33" s="143"/>
      <c r="H33" s="144"/>
    </row>
    <row r="34" spans="2:8" ht="24.95" customHeight="1" x14ac:dyDescent="0.2">
      <c r="B34" s="145" t="s">
        <v>193</v>
      </c>
      <c r="C34" s="230"/>
      <c r="D34" s="230"/>
      <c r="E34" s="146"/>
      <c r="F34" s="249"/>
    </row>
    <row r="35" spans="2:8" ht="20.100000000000001" customHeight="1" x14ac:dyDescent="0.25">
      <c r="B35" s="147" t="s">
        <v>194</v>
      </c>
      <c r="C35" s="231">
        <f>SUM(C37:C43)</f>
        <v>1491634</v>
      </c>
      <c r="D35" s="231">
        <f t="shared" ref="D35:E35" si="4">SUM(D37:D43)</f>
        <v>1538421</v>
      </c>
      <c r="E35" s="148">
        <f t="shared" si="4"/>
        <v>1535823</v>
      </c>
      <c r="F35" s="250">
        <f t="shared" ref="F35:F58" si="5">E35/D35*100</f>
        <v>99.831125550158248</v>
      </c>
    </row>
    <row r="36" spans="2:8" ht="18.95" customHeight="1" x14ac:dyDescent="0.25">
      <c r="B36" s="147" t="s">
        <v>195</v>
      </c>
      <c r="C36" s="232"/>
      <c r="D36" s="232"/>
      <c r="E36" s="149"/>
      <c r="F36" s="251"/>
    </row>
    <row r="37" spans="2:8" ht="20.100000000000001" customHeight="1" x14ac:dyDescent="0.25">
      <c r="B37" s="147" t="s">
        <v>196</v>
      </c>
      <c r="C37" s="233">
        <v>1439934</v>
      </c>
      <c r="D37" s="233">
        <v>1488172</v>
      </c>
      <c r="E37" s="150">
        <v>1488074</v>
      </c>
      <c r="F37" s="252">
        <f t="shared" si="5"/>
        <v>99.99341473969406</v>
      </c>
      <c r="G37" s="151"/>
    </row>
    <row r="38" spans="2:8" ht="18.95" customHeight="1" x14ac:dyDescent="0.25">
      <c r="B38" s="147" t="s">
        <v>197</v>
      </c>
      <c r="C38" s="233">
        <v>8000</v>
      </c>
      <c r="D38" s="233">
        <v>38000</v>
      </c>
      <c r="E38" s="150">
        <v>38000</v>
      </c>
      <c r="F38" s="252">
        <f t="shared" si="5"/>
        <v>100</v>
      </c>
    </row>
    <row r="39" spans="2:8" ht="18.95" customHeight="1" x14ac:dyDescent="0.25">
      <c r="B39" s="147" t="s">
        <v>198</v>
      </c>
      <c r="C39" s="233">
        <v>4000</v>
      </c>
      <c r="D39" s="233">
        <v>149</v>
      </c>
      <c r="E39" s="150">
        <v>149</v>
      </c>
      <c r="F39" s="252">
        <f t="shared" si="5"/>
        <v>100</v>
      </c>
    </row>
    <row r="40" spans="2:8" ht="18.95" customHeight="1" x14ac:dyDescent="0.25">
      <c r="B40" s="147" t="s">
        <v>199</v>
      </c>
      <c r="C40" s="233">
        <v>5600</v>
      </c>
      <c r="D40" s="233">
        <v>5600</v>
      </c>
      <c r="E40" s="150">
        <v>5600</v>
      </c>
      <c r="F40" s="252">
        <f t="shared" si="5"/>
        <v>100</v>
      </c>
    </row>
    <row r="41" spans="2:8" ht="18.95" customHeight="1" x14ac:dyDescent="0.25">
      <c r="B41" s="147" t="s">
        <v>200</v>
      </c>
      <c r="C41" s="233">
        <v>15000</v>
      </c>
      <c r="D41" s="233">
        <v>0</v>
      </c>
      <c r="E41" s="150">
        <v>0</v>
      </c>
      <c r="F41" s="252"/>
    </row>
    <row r="42" spans="2:8" ht="18.95" customHeight="1" x14ac:dyDescent="0.25">
      <c r="B42" s="147" t="s">
        <v>201</v>
      </c>
      <c r="C42" s="233">
        <v>2600</v>
      </c>
      <c r="D42" s="233">
        <v>0</v>
      </c>
      <c r="E42" s="150">
        <v>0</v>
      </c>
      <c r="F42" s="252"/>
    </row>
    <row r="43" spans="2:8" ht="20.100000000000001" customHeight="1" x14ac:dyDescent="0.25">
      <c r="B43" s="147" t="s">
        <v>202</v>
      </c>
      <c r="C43" s="233">
        <v>16500</v>
      </c>
      <c r="D43" s="233">
        <v>6500</v>
      </c>
      <c r="E43" s="150">
        <v>4000</v>
      </c>
      <c r="F43" s="252">
        <f t="shared" si="5"/>
        <v>61.53846153846154</v>
      </c>
    </row>
    <row r="44" spans="2:8" ht="18.95" customHeight="1" x14ac:dyDescent="0.25">
      <c r="B44" s="152" t="s">
        <v>203</v>
      </c>
      <c r="C44" s="233"/>
      <c r="D44" s="233">
        <v>75493</v>
      </c>
      <c r="E44" s="150">
        <v>67155</v>
      </c>
      <c r="F44" s="252">
        <f t="shared" si="5"/>
        <v>88.955267375783194</v>
      </c>
    </row>
    <row r="45" spans="2:8" ht="18.95" customHeight="1" x14ac:dyDescent="0.25">
      <c r="B45" s="152" t="s">
        <v>204</v>
      </c>
      <c r="C45" s="233">
        <v>25000</v>
      </c>
      <c r="D45" s="233">
        <v>25000</v>
      </c>
      <c r="E45" s="150">
        <v>24966</v>
      </c>
      <c r="F45" s="252">
        <f t="shared" si="5"/>
        <v>99.864000000000004</v>
      </c>
    </row>
    <row r="46" spans="2:8" ht="18.95" customHeight="1" x14ac:dyDescent="0.2">
      <c r="B46" s="153" t="s">
        <v>205</v>
      </c>
      <c r="C46" s="234"/>
      <c r="D46" s="234"/>
      <c r="E46" s="154"/>
      <c r="F46" s="253"/>
    </row>
    <row r="47" spans="2:8" ht="18.95" customHeight="1" x14ac:dyDescent="0.2">
      <c r="B47" s="156" t="s">
        <v>206</v>
      </c>
      <c r="C47" s="234">
        <v>1491634</v>
      </c>
      <c r="D47" s="234">
        <v>1613914</v>
      </c>
      <c r="E47" s="154">
        <v>1602978</v>
      </c>
      <c r="F47" s="253">
        <f t="shared" si="5"/>
        <v>99.3223926429785</v>
      </c>
    </row>
    <row r="48" spans="2:8" ht="18.95" customHeight="1" x14ac:dyDescent="0.2">
      <c r="B48" s="137" t="s">
        <v>207</v>
      </c>
      <c r="C48" s="234">
        <v>710572.6</v>
      </c>
      <c r="D48" s="234">
        <v>724073</v>
      </c>
      <c r="E48" s="154">
        <v>724003</v>
      </c>
      <c r="F48" s="253">
        <f t="shared" si="5"/>
        <v>99.990332466477824</v>
      </c>
    </row>
    <row r="49" spans="2:8" ht="18.95" customHeight="1" x14ac:dyDescent="0.2">
      <c r="B49" s="157" t="s">
        <v>208</v>
      </c>
      <c r="C49" s="234">
        <v>25000</v>
      </c>
      <c r="D49" s="234">
        <v>25000</v>
      </c>
      <c r="E49" s="154">
        <v>24966</v>
      </c>
      <c r="F49" s="253">
        <f t="shared" si="5"/>
        <v>99.864000000000004</v>
      </c>
    </row>
    <row r="50" spans="2:8" ht="18.95" customHeight="1" x14ac:dyDescent="0.2">
      <c r="B50" s="157" t="s">
        <v>209</v>
      </c>
      <c r="C50" s="234">
        <v>262185</v>
      </c>
      <c r="D50" s="234">
        <v>202255</v>
      </c>
      <c r="E50" s="154">
        <v>189731</v>
      </c>
      <c r="F50" s="253">
        <f t="shared" si="5"/>
        <v>93.807816864848832</v>
      </c>
    </row>
    <row r="51" spans="2:8" ht="24.95" customHeight="1" x14ac:dyDescent="0.2">
      <c r="B51" s="145" t="s">
        <v>210</v>
      </c>
      <c r="C51" s="235"/>
      <c r="D51" s="235"/>
      <c r="E51" s="158"/>
      <c r="F51" s="254"/>
    </row>
    <row r="52" spans="2:8" ht="20.100000000000001" customHeight="1" x14ac:dyDescent="0.25">
      <c r="B52" s="147" t="s">
        <v>211</v>
      </c>
      <c r="C52" s="233">
        <v>702813</v>
      </c>
      <c r="D52" s="233">
        <v>693257</v>
      </c>
      <c r="E52" s="150">
        <v>671326</v>
      </c>
      <c r="F52" s="252">
        <f t="shared" si="5"/>
        <v>96.836526713758388</v>
      </c>
    </row>
    <row r="53" spans="2:8" ht="20.100000000000001" customHeight="1" x14ac:dyDescent="0.25">
      <c r="B53" s="152" t="s">
        <v>203</v>
      </c>
      <c r="C53" s="233">
        <v>0</v>
      </c>
      <c r="D53" s="233">
        <v>14535</v>
      </c>
      <c r="E53" s="150">
        <v>3035</v>
      </c>
      <c r="F53" s="252">
        <f t="shared" si="5"/>
        <v>20.88063295493636</v>
      </c>
    </row>
    <row r="54" spans="2:8" ht="20.100000000000001" customHeight="1" x14ac:dyDescent="0.25">
      <c r="B54" s="147" t="s">
        <v>212</v>
      </c>
      <c r="C54" s="233">
        <v>0</v>
      </c>
      <c r="D54" s="233">
        <v>0</v>
      </c>
      <c r="E54" s="150">
        <v>0</v>
      </c>
      <c r="F54" s="252"/>
    </row>
    <row r="55" spans="2:8" ht="20.100000000000001" customHeight="1" x14ac:dyDescent="0.2">
      <c r="B55" s="156" t="s">
        <v>206</v>
      </c>
      <c r="C55" s="234">
        <v>702813</v>
      </c>
      <c r="D55" s="234">
        <v>707792</v>
      </c>
      <c r="E55" s="154">
        <v>674361</v>
      </c>
      <c r="F55" s="253">
        <f t="shared" si="5"/>
        <v>95.276719714266335</v>
      </c>
    </row>
    <row r="56" spans="2:8" ht="20.100000000000001" customHeight="1" x14ac:dyDescent="0.2">
      <c r="B56" s="137" t="s">
        <v>207</v>
      </c>
      <c r="C56" s="234">
        <v>358368</v>
      </c>
      <c r="D56" s="234">
        <v>358368</v>
      </c>
      <c r="E56" s="154">
        <v>342230</v>
      </c>
      <c r="F56" s="253">
        <f t="shared" si="5"/>
        <v>95.496807750692028</v>
      </c>
    </row>
    <row r="57" spans="2:8" ht="20.100000000000001" customHeight="1" x14ac:dyDescent="0.2">
      <c r="B57" s="157" t="s">
        <v>208</v>
      </c>
      <c r="C57" s="234">
        <v>0</v>
      </c>
      <c r="D57" s="234">
        <v>0</v>
      </c>
      <c r="E57" s="154">
        <v>0</v>
      </c>
      <c r="F57" s="253"/>
    </row>
    <row r="58" spans="2:8" ht="20.100000000000001" customHeight="1" thickBot="1" x14ac:dyDescent="0.25">
      <c r="B58" s="159" t="s">
        <v>213</v>
      </c>
      <c r="C58" s="236">
        <v>24515</v>
      </c>
      <c r="D58" s="236">
        <v>36482</v>
      </c>
      <c r="E58" s="160">
        <v>45675</v>
      </c>
      <c r="F58" s="255">
        <f t="shared" si="5"/>
        <v>125.1987281399046</v>
      </c>
    </row>
    <row r="59" spans="2:8" s="4" customFormat="1" ht="5.0999999999999996" customHeight="1" x14ac:dyDescent="0.2">
      <c r="B59" s="180"/>
      <c r="C59" s="155"/>
      <c r="D59" s="155"/>
      <c r="E59" s="155"/>
      <c r="F59" s="291"/>
      <c r="G59" s="290"/>
      <c r="H59" s="290"/>
    </row>
    <row r="60" spans="2:8" ht="18.95" customHeight="1" x14ac:dyDescent="0.2">
      <c r="B60" s="628" t="s">
        <v>214</v>
      </c>
      <c r="C60" s="628"/>
      <c r="D60" s="628"/>
      <c r="E60" s="628"/>
      <c r="F60" s="628"/>
    </row>
    <row r="61" spans="2:8" ht="18.95" customHeight="1" x14ac:dyDescent="0.2">
      <c r="B61" s="628" t="s">
        <v>215</v>
      </c>
      <c r="C61" s="628"/>
      <c r="D61" s="628"/>
      <c r="E61" s="628"/>
      <c r="F61" s="628"/>
    </row>
    <row r="62" spans="2:8" ht="18.95" customHeight="1" x14ac:dyDescent="0.2">
      <c r="B62" s="628" t="s">
        <v>248</v>
      </c>
      <c r="C62" s="628"/>
      <c r="D62" s="628"/>
      <c r="E62" s="628"/>
      <c r="F62" s="628"/>
    </row>
    <row r="63" spans="2:8" ht="29.25" customHeight="1" thickBot="1" x14ac:dyDescent="0.25">
      <c r="B63" s="161"/>
      <c r="C63" s="273"/>
      <c r="D63" s="130"/>
      <c r="E63" s="130"/>
      <c r="F63" s="130" t="s">
        <v>216</v>
      </c>
    </row>
    <row r="64" spans="2:8" ht="41.1" customHeight="1" thickBot="1" x14ac:dyDescent="0.3">
      <c r="B64" s="3" t="s">
        <v>0</v>
      </c>
      <c r="C64" s="183" t="s">
        <v>53</v>
      </c>
      <c r="D64" s="184" t="s">
        <v>239</v>
      </c>
      <c r="E64" s="184" t="s">
        <v>240</v>
      </c>
      <c r="F64" s="184" t="s">
        <v>238</v>
      </c>
      <c r="G64" s="224"/>
      <c r="H64" s="162"/>
    </row>
    <row r="65" spans="2:8" ht="15" customHeight="1" x14ac:dyDescent="0.25">
      <c r="B65" s="14" t="s">
        <v>217</v>
      </c>
      <c r="C65" s="233">
        <f>SUM(C69-C66-C67)</f>
        <v>1225821</v>
      </c>
      <c r="D65" s="233">
        <f t="shared" ref="D65:E65" si="6">SUM(D69-D66-D67)</f>
        <v>1229692</v>
      </c>
      <c r="E65" s="150">
        <f t="shared" si="6"/>
        <v>1213750</v>
      </c>
      <c r="F65" s="252">
        <f t="shared" ref="F65:F99" si="7">E65/D65*100</f>
        <v>98.703577806475124</v>
      </c>
      <c r="G65" s="133"/>
      <c r="H65" s="133"/>
    </row>
    <row r="66" spans="2:8" ht="15" customHeight="1" x14ac:dyDescent="0.25">
      <c r="B66" s="14" t="s">
        <v>218</v>
      </c>
      <c r="C66" s="233">
        <f>SUM(C83+C88+C93)</f>
        <v>418672</v>
      </c>
      <c r="D66" s="233">
        <f>SUM(D83+D88+D93+D98+D77-D67)</f>
        <v>501749</v>
      </c>
      <c r="E66" s="150">
        <f t="shared" ref="E66" si="8">SUM(E83+E88+E93+E98+E77-E67)</f>
        <v>498137</v>
      </c>
      <c r="F66" s="252">
        <f t="shared" si="7"/>
        <v>99.280118146722756</v>
      </c>
      <c r="G66" s="165"/>
      <c r="H66" s="133"/>
    </row>
    <row r="67" spans="2:8" ht="15" customHeight="1" x14ac:dyDescent="0.25">
      <c r="B67" s="14" t="s">
        <v>203</v>
      </c>
      <c r="C67" s="233">
        <v>0</v>
      </c>
      <c r="D67" s="233">
        <v>11600</v>
      </c>
      <c r="E67" s="150">
        <v>13920</v>
      </c>
      <c r="F67" s="252">
        <f t="shared" si="7"/>
        <v>120</v>
      </c>
      <c r="G67" s="133"/>
      <c r="H67" s="133"/>
    </row>
    <row r="68" spans="2:8" ht="15" customHeight="1" x14ac:dyDescent="0.25">
      <c r="B68" s="14" t="s">
        <v>219</v>
      </c>
      <c r="C68" s="233">
        <v>14000</v>
      </c>
      <c r="D68" s="233">
        <v>14000</v>
      </c>
      <c r="E68" s="150">
        <v>0</v>
      </c>
      <c r="F68" s="252">
        <f t="shared" si="7"/>
        <v>0</v>
      </c>
      <c r="G68" s="133"/>
      <c r="H68" s="133"/>
    </row>
    <row r="69" spans="2:8" ht="15" customHeight="1" x14ac:dyDescent="0.2">
      <c r="B69" s="13" t="s">
        <v>220</v>
      </c>
      <c r="C69" s="237">
        <f t="shared" ref="C69:E69" si="9">SUM(C75+C80)</f>
        <v>1644493</v>
      </c>
      <c r="D69" s="237">
        <f t="shared" si="9"/>
        <v>1743041</v>
      </c>
      <c r="E69" s="163">
        <f t="shared" si="9"/>
        <v>1725807</v>
      </c>
      <c r="F69" s="256">
        <f t="shared" si="7"/>
        <v>99.011268237522813</v>
      </c>
      <c r="G69" s="133"/>
      <c r="H69" s="133"/>
    </row>
    <row r="70" spans="2:8" ht="15" customHeight="1" x14ac:dyDescent="0.2">
      <c r="B70" s="164" t="s">
        <v>221</v>
      </c>
      <c r="C70" s="237">
        <f>SUM(C76+C84+C89+C94+C97)</f>
        <v>1027447.6</v>
      </c>
      <c r="D70" s="237">
        <f>SUM(D76+D84+D89+D94+D97)</f>
        <v>1082245</v>
      </c>
      <c r="E70" s="163">
        <f t="shared" ref="E70" si="10">SUM(E76+E84+E89+E94+E97)</f>
        <v>1071632.83</v>
      </c>
      <c r="F70" s="256">
        <f t="shared" si="7"/>
        <v>99.01942998119651</v>
      </c>
      <c r="G70" s="133"/>
      <c r="H70" s="133"/>
    </row>
    <row r="71" spans="2:8" ht="15" customHeight="1" x14ac:dyDescent="0.2">
      <c r="B71" s="13" t="s">
        <v>222</v>
      </c>
      <c r="C71" s="234">
        <f>SUM(C79+C85+C90+C95+C99)</f>
        <v>380648</v>
      </c>
      <c r="D71" s="234">
        <f t="shared" ref="D71:E71" si="11">SUM(D79+D85+D90+D95+D99)</f>
        <v>401133</v>
      </c>
      <c r="E71" s="154">
        <f t="shared" si="11"/>
        <v>448794</v>
      </c>
      <c r="F71" s="253">
        <f t="shared" si="7"/>
        <v>111.88159538108309</v>
      </c>
      <c r="G71" s="133"/>
      <c r="H71" s="133"/>
    </row>
    <row r="72" spans="2:8" ht="15" customHeight="1" x14ac:dyDescent="0.2">
      <c r="B72" s="164" t="s">
        <v>223</v>
      </c>
      <c r="C72" s="237">
        <v>100000</v>
      </c>
      <c r="D72" s="237">
        <v>107459</v>
      </c>
      <c r="E72" s="163">
        <v>106745</v>
      </c>
      <c r="F72" s="256">
        <f t="shared" si="7"/>
        <v>99.335560539368501</v>
      </c>
      <c r="G72" s="165"/>
      <c r="H72" s="133"/>
    </row>
    <row r="73" spans="2:8" ht="15" customHeight="1" x14ac:dyDescent="0.2">
      <c r="B73" s="14" t="s">
        <v>224</v>
      </c>
      <c r="C73" s="237"/>
      <c r="D73" s="237"/>
      <c r="E73" s="163"/>
      <c r="F73" s="256"/>
      <c r="G73" s="165"/>
      <c r="H73" s="165"/>
    </row>
    <row r="74" spans="2:8" ht="15" customHeight="1" x14ac:dyDescent="0.2">
      <c r="B74" s="166" t="s">
        <v>225</v>
      </c>
      <c r="C74" s="234"/>
      <c r="D74" s="234"/>
      <c r="E74" s="154"/>
      <c r="F74" s="253"/>
      <c r="G74" s="165"/>
      <c r="H74" s="165"/>
    </row>
    <row r="75" spans="2:8" ht="15" customHeight="1" x14ac:dyDescent="0.25">
      <c r="B75" s="13" t="s">
        <v>226</v>
      </c>
      <c r="C75" s="232">
        <v>189792</v>
      </c>
      <c r="D75" s="232">
        <v>209835</v>
      </c>
      <c r="E75" s="149">
        <v>207388</v>
      </c>
      <c r="F75" s="251">
        <f t="shared" si="7"/>
        <v>98.8338456406224</v>
      </c>
      <c r="G75" s="167"/>
      <c r="H75" s="175"/>
    </row>
    <row r="76" spans="2:8" ht="15" customHeight="1" x14ac:dyDescent="0.2">
      <c r="B76" s="164" t="s">
        <v>207</v>
      </c>
      <c r="C76" s="234">
        <v>95016</v>
      </c>
      <c r="D76" s="238">
        <v>126089</v>
      </c>
      <c r="E76" s="168">
        <v>125134</v>
      </c>
      <c r="F76" s="257">
        <f t="shared" si="7"/>
        <v>99.242598482024604</v>
      </c>
      <c r="G76" s="165"/>
      <c r="H76" s="133"/>
    </row>
    <row r="77" spans="2:8" ht="15" customHeight="1" x14ac:dyDescent="0.2">
      <c r="B77" s="164" t="s">
        <v>227</v>
      </c>
      <c r="C77" s="234">
        <v>0</v>
      </c>
      <c r="D77" s="234">
        <v>4514</v>
      </c>
      <c r="E77" s="154">
        <v>3995</v>
      </c>
      <c r="F77" s="253">
        <f t="shared" si="7"/>
        <v>88.502436863092598</v>
      </c>
      <c r="G77" s="165"/>
      <c r="H77" s="133"/>
    </row>
    <row r="78" spans="2:8" ht="15" customHeight="1" x14ac:dyDescent="0.2">
      <c r="B78" s="164" t="s">
        <v>228</v>
      </c>
      <c r="C78" s="234">
        <v>14000</v>
      </c>
      <c r="D78" s="234">
        <v>14000</v>
      </c>
      <c r="E78" s="154">
        <v>0</v>
      </c>
      <c r="F78" s="253">
        <f t="shared" si="7"/>
        <v>0</v>
      </c>
      <c r="G78" s="165"/>
      <c r="H78" s="133"/>
    </row>
    <row r="79" spans="2:8" ht="15" customHeight="1" x14ac:dyDescent="0.2">
      <c r="B79" s="13" t="s">
        <v>229</v>
      </c>
      <c r="C79" s="234">
        <v>10618</v>
      </c>
      <c r="D79" s="234">
        <v>12044</v>
      </c>
      <c r="E79" s="154">
        <v>38048</v>
      </c>
      <c r="F79" s="253">
        <f t="shared" si="7"/>
        <v>315.90833610096314</v>
      </c>
      <c r="G79" s="165"/>
      <c r="H79" s="133"/>
    </row>
    <row r="80" spans="2:8" ht="15" customHeight="1" x14ac:dyDescent="0.25">
      <c r="B80" s="169" t="s">
        <v>230</v>
      </c>
      <c r="C80" s="239">
        <f>SUM(C82+C87+C92+C96)</f>
        <v>1454701</v>
      </c>
      <c r="D80" s="239">
        <f t="shared" ref="D80:E80" si="12">SUM(D82+D87+D92+D96)</f>
        <v>1533206</v>
      </c>
      <c r="E80" s="170">
        <f t="shared" si="12"/>
        <v>1518419</v>
      </c>
      <c r="F80" s="258">
        <f t="shared" si="7"/>
        <v>99.035550343528527</v>
      </c>
      <c r="G80" s="167"/>
      <c r="H80" s="167"/>
    </row>
    <row r="81" spans="2:8" ht="15" customHeight="1" x14ac:dyDescent="0.2">
      <c r="B81" s="166" t="s">
        <v>231</v>
      </c>
      <c r="C81" s="234"/>
      <c r="D81" s="234"/>
      <c r="E81" s="154"/>
      <c r="F81" s="253"/>
      <c r="G81" s="165"/>
      <c r="H81" s="165"/>
    </row>
    <row r="82" spans="2:8" ht="15" customHeight="1" x14ac:dyDescent="0.25">
      <c r="B82" s="13" t="s">
        <v>226</v>
      </c>
      <c r="C82" s="232">
        <v>686709</v>
      </c>
      <c r="D82" s="232">
        <v>792914</v>
      </c>
      <c r="E82" s="149">
        <v>789505</v>
      </c>
      <c r="F82" s="251">
        <f t="shared" si="7"/>
        <v>99.570066867276907</v>
      </c>
      <c r="G82" s="175"/>
      <c r="H82" s="175"/>
    </row>
    <row r="83" spans="2:8" ht="15" customHeight="1" x14ac:dyDescent="0.2">
      <c r="B83" s="13" t="s">
        <v>232</v>
      </c>
      <c r="C83" s="234">
        <v>286272</v>
      </c>
      <c r="D83" s="234">
        <v>341816</v>
      </c>
      <c r="E83" s="154">
        <v>341816</v>
      </c>
      <c r="F83" s="253">
        <f t="shared" si="7"/>
        <v>100</v>
      </c>
      <c r="G83" s="165"/>
      <c r="H83" s="133"/>
    </row>
    <row r="84" spans="2:8" ht="15" customHeight="1" x14ac:dyDescent="0.2">
      <c r="B84" s="164" t="s">
        <v>207</v>
      </c>
      <c r="C84" s="234">
        <v>414925.6</v>
      </c>
      <c r="D84" s="238">
        <v>462629</v>
      </c>
      <c r="E84" s="168">
        <v>462572</v>
      </c>
      <c r="F84" s="257">
        <f t="shared" si="7"/>
        <v>99.987679112204376</v>
      </c>
      <c r="G84" s="133"/>
      <c r="H84" s="165"/>
    </row>
    <row r="85" spans="2:8" ht="15" customHeight="1" x14ac:dyDescent="0.2">
      <c r="B85" s="13" t="s">
        <v>229</v>
      </c>
      <c r="C85" s="234">
        <v>191530</v>
      </c>
      <c r="D85" s="234">
        <v>203130</v>
      </c>
      <c r="E85" s="154">
        <v>210771</v>
      </c>
      <c r="F85" s="253">
        <f t="shared" si="7"/>
        <v>103.76163048294195</v>
      </c>
      <c r="G85" s="165"/>
      <c r="H85" s="165"/>
    </row>
    <row r="86" spans="2:8" ht="15" customHeight="1" x14ac:dyDescent="0.2">
      <c r="B86" s="166" t="s">
        <v>233</v>
      </c>
      <c r="C86" s="234"/>
      <c r="D86" s="234"/>
      <c r="E86" s="154"/>
      <c r="F86" s="253"/>
      <c r="G86" s="165"/>
      <c r="H86" s="165"/>
    </row>
    <row r="87" spans="2:8" ht="15" customHeight="1" x14ac:dyDescent="0.25">
      <c r="B87" s="13" t="s">
        <v>234</v>
      </c>
      <c r="C87" s="232">
        <v>644520</v>
      </c>
      <c r="D87" s="232">
        <v>631955</v>
      </c>
      <c r="E87" s="149">
        <v>624379</v>
      </c>
      <c r="F87" s="251">
        <f t="shared" si="7"/>
        <v>98.801180463798843</v>
      </c>
      <c r="G87" s="175"/>
      <c r="H87" s="175"/>
    </row>
    <row r="88" spans="2:8" ht="15" customHeight="1" x14ac:dyDescent="0.2">
      <c r="B88" s="13" t="s">
        <v>235</v>
      </c>
      <c r="C88" s="234">
        <v>100000</v>
      </c>
      <c r="D88" s="234">
        <v>131391</v>
      </c>
      <c r="E88" s="154">
        <v>130618</v>
      </c>
      <c r="F88" s="253">
        <f t="shared" si="7"/>
        <v>99.411679643202362</v>
      </c>
      <c r="G88" s="133"/>
      <c r="H88" s="133"/>
    </row>
    <row r="89" spans="2:8" ht="15" customHeight="1" x14ac:dyDescent="0.2">
      <c r="B89" s="164" t="s">
        <v>207</v>
      </c>
      <c r="C89" s="234">
        <v>446378</v>
      </c>
      <c r="D89" s="238">
        <v>429401</v>
      </c>
      <c r="E89" s="168">
        <v>422436.83</v>
      </c>
      <c r="F89" s="257">
        <f t="shared" si="7"/>
        <v>98.378166329375105</v>
      </c>
      <c r="G89" s="133"/>
      <c r="H89" s="133"/>
    </row>
    <row r="90" spans="2:8" ht="15" customHeight="1" x14ac:dyDescent="0.2">
      <c r="B90" s="13" t="s">
        <v>229</v>
      </c>
      <c r="C90" s="234">
        <v>170000</v>
      </c>
      <c r="D90" s="234">
        <v>177459</v>
      </c>
      <c r="E90" s="154">
        <v>194419</v>
      </c>
      <c r="F90" s="253">
        <f t="shared" si="7"/>
        <v>109.55713714153691</v>
      </c>
      <c r="G90" s="133"/>
      <c r="H90" s="133"/>
    </row>
    <row r="91" spans="2:8" ht="15" customHeight="1" x14ac:dyDescent="0.2">
      <c r="B91" s="14" t="s">
        <v>236</v>
      </c>
      <c r="C91" s="234"/>
      <c r="D91" s="234"/>
      <c r="E91" s="154"/>
      <c r="F91" s="253"/>
      <c r="G91" s="165"/>
      <c r="H91" s="165"/>
    </row>
    <row r="92" spans="2:8" ht="15" customHeight="1" x14ac:dyDescent="0.25">
      <c r="B92" s="13" t="s">
        <v>226</v>
      </c>
      <c r="C92" s="232">
        <v>83354</v>
      </c>
      <c r="D92" s="232">
        <v>67318</v>
      </c>
      <c r="E92" s="149">
        <v>64836</v>
      </c>
      <c r="F92" s="251">
        <f t="shared" si="7"/>
        <v>96.313021777236401</v>
      </c>
      <c r="G92" s="167"/>
      <c r="H92" s="175"/>
    </row>
    <row r="93" spans="2:8" ht="15" customHeight="1" x14ac:dyDescent="0.2">
      <c r="B93" s="13" t="s">
        <v>232</v>
      </c>
      <c r="C93" s="234">
        <v>32400</v>
      </c>
      <c r="D93" s="234">
        <v>34084</v>
      </c>
      <c r="E93" s="154">
        <v>34084</v>
      </c>
      <c r="F93" s="253">
        <f t="shared" si="7"/>
        <v>100</v>
      </c>
      <c r="G93" s="133"/>
      <c r="H93" s="133"/>
    </row>
    <row r="94" spans="2:8" ht="15" customHeight="1" x14ac:dyDescent="0.2">
      <c r="B94" s="164" t="s">
        <v>207</v>
      </c>
      <c r="C94" s="234">
        <v>45521</v>
      </c>
      <c r="D94" s="238">
        <v>36263</v>
      </c>
      <c r="E94" s="168">
        <v>34597</v>
      </c>
      <c r="F94" s="257">
        <f t="shared" si="7"/>
        <v>95.405785511402811</v>
      </c>
      <c r="G94" s="133"/>
      <c r="H94" s="133"/>
    </row>
    <row r="95" spans="2:8" ht="15" customHeight="1" x14ac:dyDescent="0.2">
      <c r="B95" s="171" t="s">
        <v>229</v>
      </c>
      <c r="C95" s="240">
        <v>6500</v>
      </c>
      <c r="D95" s="240">
        <v>6500</v>
      </c>
      <c r="E95" s="172">
        <v>5225</v>
      </c>
      <c r="F95" s="259">
        <f t="shared" si="7"/>
        <v>80.384615384615387</v>
      </c>
      <c r="G95" s="140"/>
      <c r="H95" s="133"/>
    </row>
    <row r="96" spans="2:8" s="28" customFormat="1" ht="15" customHeight="1" x14ac:dyDescent="0.25">
      <c r="B96" s="173" t="s">
        <v>237</v>
      </c>
      <c r="C96" s="241">
        <v>40118</v>
      </c>
      <c r="D96" s="241">
        <v>41019</v>
      </c>
      <c r="E96" s="174">
        <v>39699</v>
      </c>
      <c r="F96" s="260">
        <f t="shared" si="7"/>
        <v>96.781979082864041</v>
      </c>
      <c r="G96" s="140"/>
      <c r="H96" s="175"/>
    </row>
    <row r="97" spans="2:8" s="28" customFormat="1" ht="15" customHeight="1" x14ac:dyDescent="0.2">
      <c r="B97" s="176" t="s">
        <v>207</v>
      </c>
      <c r="C97" s="240">
        <v>25607</v>
      </c>
      <c r="D97" s="242">
        <v>27863</v>
      </c>
      <c r="E97" s="177">
        <v>26893</v>
      </c>
      <c r="F97" s="261">
        <f t="shared" si="7"/>
        <v>96.518680687650289</v>
      </c>
      <c r="G97" s="140"/>
      <c r="H97" s="133"/>
    </row>
    <row r="98" spans="2:8" s="28" customFormat="1" ht="15" customHeight="1" x14ac:dyDescent="0.2">
      <c r="B98" s="13" t="s">
        <v>232</v>
      </c>
      <c r="C98" s="240">
        <v>0</v>
      </c>
      <c r="D98" s="240">
        <v>1544</v>
      </c>
      <c r="E98" s="172">
        <v>1544</v>
      </c>
      <c r="F98" s="259">
        <f t="shared" si="7"/>
        <v>100</v>
      </c>
      <c r="G98" s="140"/>
      <c r="H98" s="133"/>
    </row>
    <row r="99" spans="2:8" ht="15" customHeight="1" thickBot="1" x14ac:dyDescent="0.25">
      <c r="B99" s="18" t="s">
        <v>229</v>
      </c>
      <c r="C99" s="243">
        <v>2000</v>
      </c>
      <c r="D99" s="243">
        <v>2000</v>
      </c>
      <c r="E99" s="178">
        <v>331</v>
      </c>
      <c r="F99" s="262">
        <f t="shared" si="7"/>
        <v>16.55</v>
      </c>
      <c r="G99" s="140"/>
      <c r="H99" s="179"/>
    </row>
    <row r="100" spans="2:8" ht="17.25" customHeight="1" x14ac:dyDescent="0.2">
      <c r="B100" s="180"/>
      <c r="C100" s="155"/>
      <c r="D100" s="155"/>
      <c r="E100" s="155"/>
      <c r="F100" s="155"/>
      <c r="G100" s="140"/>
      <c r="H100" s="133"/>
    </row>
    <row r="102" spans="2:8" x14ac:dyDescent="0.2">
      <c r="G102" s="181"/>
      <c r="H102" s="182"/>
    </row>
  </sheetData>
  <sheetProtection sheet="1" objects="1" scenarios="1"/>
  <mergeCells count="10">
    <mergeCell ref="B31:F31"/>
    <mergeCell ref="B60:F60"/>
    <mergeCell ref="B61:F61"/>
    <mergeCell ref="B62:F62"/>
    <mergeCell ref="B2:F2"/>
    <mergeCell ref="B3:F3"/>
    <mergeCell ref="B4:F4"/>
    <mergeCell ref="B5:F5"/>
    <mergeCell ref="B30:F30"/>
    <mergeCell ref="B29:F29"/>
  </mergeCells>
  <pageMargins left="0.39370078740157483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N430"/>
  <sheetViews>
    <sheetView topLeftCell="A358" workbookViewId="0">
      <selection activeCell="D381" sqref="D381"/>
    </sheetView>
  </sheetViews>
  <sheetFormatPr defaultRowHeight="12.75" x14ac:dyDescent="0.2"/>
  <cols>
    <col min="1" max="1" width="28.140625" style="471" customWidth="1"/>
    <col min="2" max="2" width="12.85546875" style="453" customWidth="1"/>
    <col min="3" max="3" width="13.140625" style="453" customWidth="1"/>
    <col min="4" max="4" width="12.7109375" style="453" customWidth="1"/>
    <col min="5" max="5" width="9.28515625" style="453" customWidth="1"/>
    <col min="6" max="6" width="12.7109375" style="453" customWidth="1"/>
    <col min="7" max="7" width="13.140625" style="453" customWidth="1"/>
    <col min="8" max="8" width="13.28515625" style="453" customWidth="1"/>
    <col min="9" max="9" width="8.42578125" style="453" customWidth="1"/>
    <col min="10" max="248" width="9.140625" style="293"/>
    <col min="249" max="249" width="27.28515625" style="293" customWidth="1"/>
    <col min="250" max="250" width="10.7109375" style="293" customWidth="1"/>
    <col min="251" max="251" width="9.7109375" style="293" customWidth="1"/>
    <col min="252" max="252" width="12.5703125" style="293" customWidth="1"/>
    <col min="253" max="253" width="10.28515625" style="293" customWidth="1"/>
    <col min="254" max="254" width="13.140625" style="293" customWidth="1"/>
    <col min="255" max="255" width="9.7109375" style="293" customWidth="1"/>
    <col min="256" max="256" width="11.7109375" style="293" customWidth="1"/>
    <col min="257" max="257" width="9.7109375" style="293" customWidth="1"/>
    <col min="258" max="258" width="9.140625" style="293" customWidth="1"/>
    <col min="259" max="504" width="9.140625" style="293"/>
    <col min="505" max="505" width="27.28515625" style="293" customWidth="1"/>
    <col min="506" max="506" width="10.7109375" style="293" customWidth="1"/>
    <col min="507" max="507" width="9.7109375" style="293" customWidth="1"/>
    <col min="508" max="508" width="12.5703125" style="293" customWidth="1"/>
    <col min="509" max="509" width="10.28515625" style="293" customWidth="1"/>
    <col min="510" max="510" width="13.140625" style="293" customWidth="1"/>
    <col min="511" max="511" width="9.7109375" style="293" customWidth="1"/>
    <col min="512" max="512" width="11.7109375" style="293" customWidth="1"/>
    <col min="513" max="513" width="9.7109375" style="293" customWidth="1"/>
    <col min="514" max="514" width="9.140625" style="293" customWidth="1"/>
    <col min="515" max="760" width="9.140625" style="293"/>
    <col min="761" max="761" width="27.28515625" style="293" customWidth="1"/>
    <col min="762" max="762" width="10.7109375" style="293" customWidth="1"/>
    <col min="763" max="763" width="9.7109375" style="293" customWidth="1"/>
    <col min="764" max="764" width="12.5703125" style="293" customWidth="1"/>
    <col min="765" max="765" width="10.28515625" style="293" customWidth="1"/>
    <col min="766" max="766" width="13.140625" style="293" customWidth="1"/>
    <col min="767" max="767" width="9.7109375" style="293" customWidth="1"/>
    <col min="768" max="768" width="11.7109375" style="293" customWidth="1"/>
    <col min="769" max="769" width="9.7109375" style="293" customWidth="1"/>
    <col min="770" max="770" width="9.140625" style="293" customWidth="1"/>
    <col min="771" max="1016" width="9.140625" style="293"/>
    <col min="1017" max="1017" width="27.28515625" style="293" customWidth="1"/>
    <col min="1018" max="1018" width="10.7109375" style="293" customWidth="1"/>
    <col min="1019" max="1019" width="9.7109375" style="293" customWidth="1"/>
    <col min="1020" max="1020" width="12.5703125" style="293" customWidth="1"/>
    <col min="1021" max="1021" width="10.28515625" style="293" customWidth="1"/>
    <col min="1022" max="1022" width="13.140625" style="293" customWidth="1"/>
    <col min="1023" max="1023" width="9.7109375" style="293" customWidth="1"/>
    <col min="1024" max="1024" width="11.7109375" style="293" customWidth="1"/>
    <col min="1025" max="1025" width="9.7109375" style="293" customWidth="1"/>
    <col min="1026" max="1026" width="9.140625" style="293" customWidth="1"/>
    <col min="1027" max="1272" width="9.140625" style="293"/>
    <col min="1273" max="1273" width="27.28515625" style="293" customWidth="1"/>
    <col min="1274" max="1274" width="10.7109375" style="293" customWidth="1"/>
    <col min="1275" max="1275" width="9.7109375" style="293" customWidth="1"/>
    <col min="1276" max="1276" width="12.5703125" style="293" customWidth="1"/>
    <col min="1277" max="1277" width="10.28515625" style="293" customWidth="1"/>
    <col min="1278" max="1278" width="13.140625" style="293" customWidth="1"/>
    <col min="1279" max="1279" width="9.7109375" style="293" customWidth="1"/>
    <col min="1280" max="1280" width="11.7109375" style="293" customWidth="1"/>
    <col min="1281" max="1281" width="9.7109375" style="293" customWidth="1"/>
    <col min="1282" max="1282" width="9.140625" style="293" customWidth="1"/>
    <col min="1283" max="1528" width="9.140625" style="293"/>
    <col min="1529" max="1529" width="27.28515625" style="293" customWidth="1"/>
    <col min="1530" max="1530" width="10.7109375" style="293" customWidth="1"/>
    <col min="1531" max="1531" width="9.7109375" style="293" customWidth="1"/>
    <col min="1532" max="1532" width="12.5703125" style="293" customWidth="1"/>
    <col min="1533" max="1533" width="10.28515625" style="293" customWidth="1"/>
    <col min="1534" max="1534" width="13.140625" style="293" customWidth="1"/>
    <col min="1535" max="1535" width="9.7109375" style="293" customWidth="1"/>
    <col min="1536" max="1536" width="11.7109375" style="293" customWidth="1"/>
    <col min="1537" max="1537" width="9.7109375" style="293" customWidth="1"/>
    <col min="1538" max="1538" width="9.140625" style="293" customWidth="1"/>
    <col min="1539" max="1784" width="9.140625" style="293"/>
    <col min="1785" max="1785" width="27.28515625" style="293" customWidth="1"/>
    <col min="1786" max="1786" width="10.7109375" style="293" customWidth="1"/>
    <col min="1787" max="1787" width="9.7109375" style="293" customWidth="1"/>
    <col min="1788" max="1788" width="12.5703125" style="293" customWidth="1"/>
    <col min="1789" max="1789" width="10.28515625" style="293" customWidth="1"/>
    <col min="1790" max="1790" width="13.140625" style="293" customWidth="1"/>
    <col min="1791" max="1791" width="9.7109375" style="293" customWidth="1"/>
    <col min="1792" max="1792" width="11.7109375" style="293" customWidth="1"/>
    <col min="1793" max="1793" width="9.7109375" style="293" customWidth="1"/>
    <col min="1794" max="1794" width="9.140625" style="293" customWidth="1"/>
    <col min="1795" max="2040" width="9.140625" style="293"/>
    <col min="2041" max="2041" width="27.28515625" style="293" customWidth="1"/>
    <col min="2042" max="2042" width="10.7109375" style="293" customWidth="1"/>
    <col min="2043" max="2043" width="9.7109375" style="293" customWidth="1"/>
    <col min="2044" max="2044" width="12.5703125" style="293" customWidth="1"/>
    <col min="2045" max="2045" width="10.28515625" style="293" customWidth="1"/>
    <col min="2046" max="2046" width="13.140625" style="293" customWidth="1"/>
    <col min="2047" max="2047" width="9.7109375" style="293" customWidth="1"/>
    <col min="2048" max="2048" width="11.7109375" style="293" customWidth="1"/>
    <col min="2049" max="2049" width="9.7109375" style="293" customWidth="1"/>
    <col min="2050" max="2050" width="9.140625" style="293" customWidth="1"/>
    <col min="2051" max="2296" width="9.140625" style="293"/>
    <col min="2297" max="2297" width="27.28515625" style="293" customWidth="1"/>
    <col min="2298" max="2298" width="10.7109375" style="293" customWidth="1"/>
    <col min="2299" max="2299" width="9.7109375" style="293" customWidth="1"/>
    <col min="2300" max="2300" width="12.5703125" style="293" customWidth="1"/>
    <col min="2301" max="2301" width="10.28515625" style="293" customWidth="1"/>
    <col min="2302" max="2302" width="13.140625" style="293" customWidth="1"/>
    <col min="2303" max="2303" width="9.7109375" style="293" customWidth="1"/>
    <col min="2304" max="2304" width="11.7109375" style="293" customWidth="1"/>
    <col min="2305" max="2305" width="9.7109375" style="293" customWidth="1"/>
    <col min="2306" max="2306" width="9.140625" style="293" customWidth="1"/>
    <col min="2307" max="2552" width="9.140625" style="293"/>
    <col min="2553" max="2553" width="27.28515625" style="293" customWidth="1"/>
    <col min="2554" max="2554" width="10.7109375" style="293" customWidth="1"/>
    <col min="2555" max="2555" width="9.7109375" style="293" customWidth="1"/>
    <col min="2556" max="2556" width="12.5703125" style="293" customWidth="1"/>
    <col min="2557" max="2557" width="10.28515625" style="293" customWidth="1"/>
    <col min="2558" max="2558" width="13.140625" style="293" customWidth="1"/>
    <col min="2559" max="2559" width="9.7109375" style="293" customWidth="1"/>
    <col min="2560" max="2560" width="11.7109375" style="293" customWidth="1"/>
    <col min="2561" max="2561" width="9.7109375" style="293" customWidth="1"/>
    <col min="2562" max="2562" width="9.140625" style="293" customWidth="1"/>
    <col min="2563" max="2808" width="9.140625" style="293"/>
    <col min="2809" max="2809" width="27.28515625" style="293" customWidth="1"/>
    <col min="2810" max="2810" width="10.7109375" style="293" customWidth="1"/>
    <col min="2811" max="2811" width="9.7109375" style="293" customWidth="1"/>
    <col min="2812" max="2812" width="12.5703125" style="293" customWidth="1"/>
    <col min="2813" max="2813" width="10.28515625" style="293" customWidth="1"/>
    <col min="2814" max="2814" width="13.140625" style="293" customWidth="1"/>
    <col min="2815" max="2815" width="9.7109375" style="293" customWidth="1"/>
    <col min="2816" max="2816" width="11.7109375" style="293" customWidth="1"/>
    <col min="2817" max="2817" width="9.7109375" style="293" customWidth="1"/>
    <col min="2818" max="2818" width="9.140625" style="293" customWidth="1"/>
    <col min="2819" max="3064" width="9.140625" style="293"/>
    <col min="3065" max="3065" width="27.28515625" style="293" customWidth="1"/>
    <col min="3066" max="3066" width="10.7109375" style="293" customWidth="1"/>
    <col min="3067" max="3067" width="9.7109375" style="293" customWidth="1"/>
    <col min="3068" max="3068" width="12.5703125" style="293" customWidth="1"/>
    <col min="3069" max="3069" width="10.28515625" style="293" customWidth="1"/>
    <col min="3070" max="3070" width="13.140625" style="293" customWidth="1"/>
    <col min="3071" max="3071" width="9.7109375" style="293" customWidth="1"/>
    <col min="3072" max="3072" width="11.7109375" style="293" customWidth="1"/>
    <col min="3073" max="3073" width="9.7109375" style="293" customWidth="1"/>
    <col min="3074" max="3074" width="9.140625" style="293" customWidth="1"/>
    <col min="3075" max="3320" width="9.140625" style="293"/>
    <col min="3321" max="3321" width="27.28515625" style="293" customWidth="1"/>
    <col min="3322" max="3322" width="10.7109375" style="293" customWidth="1"/>
    <col min="3323" max="3323" width="9.7109375" style="293" customWidth="1"/>
    <col min="3324" max="3324" width="12.5703125" style="293" customWidth="1"/>
    <col min="3325" max="3325" width="10.28515625" style="293" customWidth="1"/>
    <col min="3326" max="3326" width="13.140625" style="293" customWidth="1"/>
    <col min="3327" max="3327" width="9.7109375" style="293" customWidth="1"/>
    <col min="3328" max="3328" width="11.7109375" style="293" customWidth="1"/>
    <col min="3329" max="3329" width="9.7109375" style="293" customWidth="1"/>
    <col min="3330" max="3330" width="9.140625" style="293" customWidth="1"/>
    <col min="3331" max="3576" width="9.140625" style="293"/>
    <col min="3577" max="3577" width="27.28515625" style="293" customWidth="1"/>
    <col min="3578" max="3578" width="10.7109375" style="293" customWidth="1"/>
    <col min="3579" max="3579" width="9.7109375" style="293" customWidth="1"/>
    <col min="3580" max="3580" width="12.5703125" style="293" customWidth="1"/>
    <col min="3581" max="3581" width="10.28515625" style="293" customWidth="1"/>
    <col min="3582" max="3582" width="13.140625" style="293" customWidth="1"/>
    <col min="3583" max="3583" width="9.7109375" style="293" customWidth="1"/>
    <col min="3584" max="3584" width="11.7109375" style="293" customWidth="1"/>
    <col min="3585" max="3585" width="9.7109375" style="293" customWidth="1"/>
    <col min="3586" max="3586" width="9.140625" style="293" customWidth="1"/>
    <col min="3587" max="3832" width="9.140625" style="293"/>
    <col min="3833" max="3833" width="27.28515625" style="293" customWidth="1"/>
    <col min="3834" max="3834" width="10.7109375" style="293" customWidth="1"/>
    <col min="3835" max="3835" width="9.7109375" style="293" customWidth="1"/>
    <col min="3836" max="3836" width="12.5703125" style="293" customWidth="1"/>
    <col min="3837" max="3837" width="10.28515625" style="293" customWidth="1"/>
    <col min="3838" max="3838" width="13.140625" style="293" customWidth="1"/>
    <col min="3839" max="3839" width="9.7109375" style="293" customWidth="1"/>
    <col min="3840" max="3840" width="11.7109375" style="293" customWidth="1"/>
    <col min="3841" max="3841" width="9.7109375" style="293" customWidth="1"/>
    <col min="3842" max="3842" width="9.140625" style="293" customWidth="1"/>
    <col min="3843" max="4088" width="9.140625" style="293"/>
    <col min="4089" max="4089" width="27.28515625" style="293" customWidth="1"/>
    <col min="4090" max="4090" width="10.7109375" style="293" customWidth="1"/>
    <col min="4091" max="4091" width="9.7109375" style="293" customWidth="1"/>
    <col min="4092" max="4092" width="12.5703125" style="293" customWidth="1"/>
    <col min="4093" max="4093" width="10.28515625" style="293" customWidth="1"/>
    <col min="4094" max="4094" width="13.140625" style="293" customWidth="1"/>
    <col min="4095" max="4095" width="9.7109375" style="293" customWidth="1"/>
    <col min="4096" max="4096" width="11.7109375" style="293" customWidth="1"/>
    <col min="4097" max="4097" width="9.7109375" style="293" customWidth="1"/>
    <col min="4098" max="4098" width="9.140625" style="293" customWidth="1"/>
    <col min="4099" max="4344" width="9.140625" style="293"/>
    <col min="4345" max="4345" width="27.28515625" style="293" customWidth="1"/>
    <col min="4346" max="4346" width="10.7109375" style="293" customWidth="1"/>
    <col min="4347" max="4347" width="9.7109375" style="293" customWidth="1"/>
    <col min="4348" max="4348" width="12.5703125" style="293" customWidth="1"/>
    <col min="4349" max="4349" width="10.28515625" style="293" customWidth="1"/>
    <col min="4350" max="4350" width="13.140625" style="293" customWidth="1"/>
    <col min="4351" max="4351" width="9.7109375" style="293" customWidth="1"/>
    <col min="4352" max="4352" width="11.7109375" style="293" customWidth="1"/>
    <col min="4353" max="4353" width="9.7109375" style="293" customWidth="1"/>
    <col min="4354" max="4354" width="9.140625" style="293" customWidth="1"/>
    <col min="4355" max="4600" width="9.140625" style="293"/>
    <col min="4601" max="4601" width="27.28515625" style="293" customWidth="1"/>
    <col min="4602" max="4602" width="10.7109375" style="293" customWidth="1"/>
    <col min="4603" max="4603" width="9.7109375" style="293" customWidth="1"/>
    <col min="4604" max="4604" width="12.5703125" style="293" customWidth="1"/>
    <col min="4605" max="4605" width="10.28515625" style="293" customWidth="1"/>
    <col min="4606" max="4606" width="13.140625" style="293" customWidth="1"/>
    <col min="4607" max="4607" width="9.7109375" style="293" customWidth="1"/>
    <col min="4608" max="4608" width="11.7109375" style="293" customWidth="1"/>
    <col min="4609" max="4609" width="9.7109375" style="293" customWidth="1"/>
    <col min="4610" max="4610" width="9.140625" style="293" customWidth="1"/>
    <col min="4611" max="4856" width="9.140625" style="293"/>
    <col min="4857" max="4857" width="27.28515625" style="293" customWidth="1"/>
    <col min="4858" max="4858" width="10.7109375" style="293" customWidth="1"/>
    <col min="4859" max="4859" width="9.7109375" style="293" customWidth="1"/>
    <col min="4860" max="4860" width="12.5703125" style="293" customWidth="1"/>
    <col min="4861" max="4861" width="10.28515625" style="293" customWidth="1"/>
    <col min="4862" max="4862" width="13.140625" style="293" customWidth="1"/>
    <col min="4863" max="4863" width="9.7109375" style="293" customWidth="1"/>
    <col min="4864" max="4864" width="11.7109375" style="293" customWidth="1"/>
    <col min="4865" max="4865" width="9.7109375" style="293" customWidth="1"/>
    <col min="4866" max="4866" width="9.140625" style="293" customWidth="1"/>
    <col min="4867" max="5112" width="9.140625" style="293"/>
    <col min="5113" max="5113" width="27.28515625" style="293" customWidth="1"/>
    <col min="5114" max="5114" width="10.7109375" style="293" customWidth="1"/>
    <col min="5115" max="5115" width="9.7109375" style="293" customWidth="1"/>
    <col min="5116" max="5116" width="12.5703125" style="293" customWidth="1"/>
    <col min="5117" max="5117" width="10.28515625" style="293" customWidth="1"/>
    <col min="5118" max="5118" width="13.140625" style="293" customWidth="1"/>
    <col min="5119" max="5119" width="9.7109375" style="293" customWidth="1"/>
    <col min="5120" max="5120" width="11.7109375" style="293" customWidth="1"/>
    <col min="5121" max="5121" width="9.7109375" style="293" customWidth="1"/>
    <col min="5122" max="5122" width="9.140625" style="293" customWidth="1"/>
    <col min="5123" max="5368" width="9.140625" style="293"/>
    <col min="5369" max="5369" width="27.28515625" style="293" customWidth="1"/>
    <col min="5370" max="5370" width="10.7109375" style="293" customWidth="1"/>
    <col min="5371" max="5371" width="9.7109375" style="293" customWidth="1"/>
    <col min="5372" max="5372" width="12.5703125" style="293" customWidth="1"/>
    <col min="5373" max="5373" width="10.28515625" style="293" customWidth="1"/>
    <col min="5374" max="5374" width="13.140625" style="293" customWidth="1"/>
    <col min="5375" max="5375" width="9.7109375" style="293" customWidth="1"/>
    <col min="5376" max="5376" width="11.7109375" style="293" customWidth="1"/>
    <col min="5377" max="5377" width="9.7109375" style="293" customWidth="1"/>
    <col min="5378" max="5378" width="9.140625" style="293" customWidth="1"/>
    <col min="5379" max="5624" width="9.140625" style="293"/>
    <col min="5625" max="5625" width="27.28515625" style="293" customWidth="1"/>
    <col min="5626" max="5626" width="10.7109375" style="293" customWidth="1"/>
    <col min="5627" max="5627" width="9.7109375" style="293" customWidth="1"/>
    <col min="5628" max="5628" width="12.5703125" style="293" customWidth="1"/>
    <col min="5629" max="5629" width="10.28515625" style="293" customWidth="1"/>
    <col min="5630" max="5630" width="13.140625" style="293" customWidth="1"/>
    <col min="5631" max="5631" width="9.7109375" style="293" customWidth="1"/>
    <col min="5632" max="5632" width="11.7109375" style="293" customWidth="1"/>
    <col min="5633" max="5633" width="9.7109375" style="293" customWidth="1"/>
    <col min="5634" max="5634" width="9.140625" style="293" customWidth="1"/>
    <col min="5635" max="5880" width="9.140625" style="293"/>
    <col min="5881" max="5881" width="27.28515625" style="293" customWidth="1"/>
    <col min="5882" max="5882" width="10.7109375" style="293" customWidth="1"/>
    <col min="5883" max="5883" width="9.7109375" style="293" customWidth="1"/>
    <col min="5884" max="5884" width="12.5703125" style="293" customWidth="1"/>
    <col min="5885" max="5885" width="10.28515625" style="293" customWidth="1"/>
    <col min="5886" max="5886" width="13.140625" style="293" customWidth="1"/>
    <col min="5887" max="5887" width="9.7109375" style="293" customWidth="1"/>
    <col min="5888" max="5888" width="11.7109375" style="293" customWidth="1"/>
    <col min="5889" max="5889" width="9.7109375" style="293" customWidth="1"/>
    <col min="5890" max="5890" width="9.140625" style="293" customWidth="1"/>
    <col min="5891" max="6136" width="9.140625" style="293"/>
    <col min="6137" max="6137" width="27.28515625" style="293" customWidth="1"/>
    <col min="6138" max="6138" width="10.7109375" style="293" customWidth="1"/>
    <col min="6139" max="6139" width="9.7109375" style="293" customWidth="1"/>
    <col min="6140" max="6140" width="12.5703125" style="293" customWidth="1"/>
    <col min="6141" max="6141" width="10.28515625" style="293" customWidth="1"/>
    <col min="6142" max="6142" width="13.140625" style="293" customWidth="1"/>
    <col min="6143" max="6143" width="9.7109375" style="293" customWidth="1"/>
    <col min="6144" max="6144" width="11.7109375" style="293" customWidth="1"/>
    <col min="6145" max="6145" width="9.7109375" style="293" customWidth="1"/>
    <col min="6146" max="6146" width="9.140625" style="293" customWidth="1"/>
    <col min="6147" max="6392" width="9.140625" style="293"/>
    <col min="6393" max="6393" width="27.28515625" style="293" customWidth="1"/>
    <col min="6394" max="6394" width="10.7109375" style="293" customWidth="1"/>
    <col min="6395" max="6395" width="9.7109375" style="293" customWidth="1"/>
    <col min="6396" max="6396" width="12.5703125" style="293" customWidth="1"/>
    <col min="6397" max="6397" width="10.28515625" style="293" customWidth="1"/>
    <col min="6398" max="6398" width="13.140625" style="293" customWidth="1"/>
    <col min="6399" max="6399" width="9.7109375" style="293" customWidth="1"/>
    <col min="6400" max="6400" width="11.7109375" style="293" customWidth="1"/>
    <col min="6401" max="6401" width="9.7109375" style="293" customWidth="1"/>
    <col min="6402" max="6402" width="9.140625" style="293" customWidth="1"/>
    <col min="6403" max="6648" width="9.140625" style="293"/>
    <col min="6649" max="6649" width="27.28515625" style="293" customWidth="1"/>
    <col min="6650" max="6650" width="10.7109375" style="293" customWidth="1"/>
    <col min="6651" max="6651" width="9.7109375" style="293" customWidth="1"/>
    <col min="6652" max="6652" width="12.5703125" style="293" customWidth="1"/>
    <col min="6653" max="6653" width="10.28515625" style="293" customWidth="1"/>
    <col min="6654" max="6654" width="13.140625" style="293" customWidth="1"/>
    <col min="6655" max="6655" width="9.7109375" style="293" customWidth="1"/>
    <col min="6656" max="6656" width="11.7109375" style="293" customWidth="1"/>
    <col min="6657" max="6657" width="9.7109375" style="293" customWidth="1"/>
    <col min="6658" max="6658" width="9.140625" style="293" customWidth="1"/>
    <col min="6659" max="6904" width="9.140625" style="293"/>
    <col min="6905" max="6905" width="27.28515625" style="293" customWidth="1"/>
    <col min="6906" max="6906" width="10.7109375" style="293" customWidth="1"/>
    <col min="6907" max="6907" width="9.7109375" style="293" customWidth="1"/>
    <col min="6908" max="6908" width="12.5703125" style="293" customWidth="1"/>
    <col min="6909" max="6909" width="10.28515625" style="293" customWidth="1"/>
    <col min="6910" max="6910" width="13.140625" style="293" customWidth="1"/>
    <col min="6911" max="6911" width="9.7109375" style="293" customWidth="1"/>
    <col min="6912" max="6912" width="11.7109375" style="293" customWidth="1"/>
    <col min="6913" max="6913" width="9.7109375" style="293" customWidth="1"/>
    <col min="6914" max="6914" width="9.140625" style="293" customWidth="1"/>
    <col min="6915" max="7160" width="9.140625" style="293"/>
    <col min="7161" max="7161" width="27.28515625" style="293" customWidth="1"/>
    <col min="7162" max="7162" width="10.7109375" style="293" customWidth="1"/>
    <col min="7163" max="7163" width="9.7109375" style="293" customWidth="1"/>
    <col min="7164" max="7164" width="12.5703125" style="293" customWidth="1"/>
    <col min="7165" max="7165" width="10.28515625" style="293" customWidth="1"/>
    <col min="7166" max="7166" width="13.140625" style="293" customWidth="1"/>
    <col min="7167" max="7167" width="9.7109375" style="293" customWidth="1"/>
    <col min="7168" max="7168" width="11.7109375" style="293" customWidth="1"/>
    <col min="7169" max="7169" width="9.7109375" style="293" customWidth="1"/>
    <col min="7170" max="7170" width="9.140625" style="293" customWidth="1"/>
    <col min="7171" max="7416" width="9.140625" style="293"/>
    <col min="7417" max="7417" width="27.28515625" style="293" customWidth="1"/>
    <col min="7418" max="7418" width="10.7109375" style="293" customWidth="1"/>
    <col min="7419" max="7419" width="9.7109375" style="293" customWidth="1"/>
    <col min="7420" max="7420" width="12.5703125" style="293" customWidth="1"/>
    <col min="7421" max="7421" width="10.28515625" style="293" customWidth="1"/>
    <col min="7422" max="7422" width="13.140625" style="293" customWidth="1"/>
    <col min="7423" max="7423" width="9.7109375" style="293" customWidth="1"/>
    <col min="7424" max="7424" width="11.7109375" style="293" customWidth="1"/>
    <col min="7425" max="7425" width="9.7109375" style="293" customWidth="1"/>
    <col min="7426" max="7426" width="9.140625" style="293" customWidth="1"/>
    <col min="7427" max="7672" width="9.140625" style="293"/>
    <col min="7673" max="7673" width="27.28515625" style="293" customWidth="1"/>
    <col min="7674" max="7674" width="10.7109375" style="293" customWidth="1"/>
    <col min="7675" max="7675" width="9.7109375" style="293" customWidth="1"/>
    <col min="7676" max="7676" width="12.5703125" style="293" customWidth="1"/>
    <col min="7677" max="7677" width="10.28515625" style="293" customWidth="1"/>
    <col min="7678" max="7678" width="13.140625" style="293" customWidth="1"/>
    <col min="7679" max="7679" width="9.7109375" style="293" customWidth="1"/>
    <col min="7680" max="7680" width="11.7109375" style="293" customWidth="1"/>
    <col min="7681" max="7681" width="9.7109375" style="293" customWidth="1"/>
    <col min="7682" max="7682" width="9.140625" style="293" customWidth="1"/>
    <col min="7683" max="7928" width="9.140625" style="293"/>
    <col min="7929" max="7929" width="27.28515625" style="293" customWidth="1"/>
    <col min="7930" max="7930" width="10.7109375" style="293" customWidth="1"/>
    <col min="7931" max="7931" width="9.7109375" style="293" customWidth="1"/>
    <col min="7932" max="7932" width="12.5703125" style="293" customWidth="1"/>
    <col min="7933" max="7933" width="10.28515625" style="293" customWidth="1"/>
    <col min="7934" max="7934" width="13.140625" style="293" customWidth="1"/>
    <col min="7935" max="7935" width="9.7109375" style="293" customWidth="1"/>
    <col min="7936" max="7936" width="11.7109375" style="293" customWidth="1"/>
    <col min="7937" max="7937" width="9.7109375" style="293" customWidth="1"/>
    <col min="7938" max="7938" width="9.140625" style="293" customWidth="1"/>
    <col min="7939" max="8184" width="9.140625" style="293"/>
    <col min="8185" max="8185" width="27.28515625" style="293" customWidth="1"/>
    <col min="8186" max="8186" width="10.7109375" style="293" customWidth="1"/>
    <col min="8187" max="8187" width="9.7109375" style="293" customWidth="1"/>
    <col min="8188" max="8188" width="12.5703125" style="293" customWidth="1"/>
    <col min="8189" max="8189" width="10.28515625" style="293" customWidth="1"/>
    <col min="8190" max="8190" width="13.140625" style="293" customWidth="1"/>
    <col min="8191" max="8191" width="9.7109375" style="293" customWidth="1"/>
    <col min="8192" max="8192" width="11.7109375" style="293" customWidth="1"/>
    <col min="8193" max="8193" width="9.7109375" style="293" customWidth="1"/>
    <col min="8194" max="8194" width="9.140625" style="293" customWidth="1"/>
    <col min="8195" max="8440" width="9.140625" style="293"/>
    <col min="8441" max="8441" width="27.28515625" style="293" customWidth="1"/>
    <col min="8442" max="8442" width="10.7109375" style="293" customWidth="1"/>
    <col min="8443" max="8443" width="9.7109375" style="293" customWidth="1"/>
    <col min="8444" max="8444" width="12.5703125" style="293" customWidth="1"/>
    <col min="8445" max="8445" width="10.28515625" style="293" customWidth="1"/>
    <col min="8446" max="8446" width="13.140625" style="293" customWidth="1"/>
    <col min="8447" max="8447" width="9.7109375" style="293" customWidth="1"/>
    <col min="8448" max="8448" width="11.7109375" style="293" customWidth="1"/>
    <col min="8449" max="8449" width="9.7109375" style="293" customWidth="1"/>
    <col min="8450" max="8450" width="9.140625" style="293" customWidth="1"/>
    <col min="8451" max="8696" width="9.140625" style="293"/>
    <col min="8697" max="8697" width="27.28515625" style="293" customWidth="1"/>
    <col min="8698" max="8698" width="10.7109375" style="293" customWidth="1"/>
    <col min="8699" max="8699" width="9.7109375" style="293" customWidth="1"/>
    <col min="8700" max="8700" width="12.5703125" style="293" customWidth="1"/>
    <col min="8701" max="8701" width="10.28515625" style="293" customWidth="1"/>
    <col min="8702" max="8702" width="13.140625" style="293" customWidth="1"/>
    <col min="8703" max="8703" width="9.7109375" style="293" customWidth="1"/>
    <col min="8704" max="8704" width="11.7109375" style="293" customWidth="1"/>
    <col min="8705" max="8705" width="9.7109375" style="293" customWidth="1"/>
    <col min="8706" max="8706" width="9.140625" style="293" customWidth="1"/>
    <col min="8707" max="8952" width="9.140625" style="293"/>
    <col min="8953" max="8953" width="27.28515625" style="293" customWidth="1"/>
    <col min="8954" max="8954" width="10.7109375" style="293" customWidth="1"/>
    <col min="8955" max="8955" width="9.7109375" style="293" customWidth="1"/>
    <col min="8956" max="8956" width="12.5703125" style="293" customWidth="1"/>
    <col min="8957" max="8957" width="10.28515625" style="293" customWidth="1"/>
    <col min="8958" max="8958" width="13.140625" style="293" customWidth="1"/>
    <col min="8959" max="8959" width="9.7109375" style="293" customWidth="1"/>
    <col min="8960" max="8960" width="11.7109375" style="293" customWidth="1"/>
    <col min="8961" max="8961" width="9.7109375" style="293" customWidth="1"/>
    <col min="8962" max="8962" width="9.140625" style="293" customWidth="1"/>
    <col min="8963" max="9208" width="9.140625" style="293"/>
    <col min="9209" max="9209" width="27.28515625" style="293" customWidth="1"/>
    <col min="9210" max="9210" width="10.7109375" style="293" customWidth="1"/>
    <col min="9211" max="9211" width="9.7109375" style="293" customWidth="1"/>
    <col min="9212" max="9212" width="12.5703125" style="293" customWidth="1"/>
    <col min="9213" max="9213" width="10.28515625" style="293" customWidth="1"/>
    <col min="9214" max="9214" width="13.140625" style="293" customWidth="1"/>
    <col min="9215" max="9215" width="9.7109375" style="293" customWidth="1"/>
    <col min="9216" max="9216" width="11.7109375" style="293" customWidth="1"/>
    <col min="9217" max="9217" width="9.7109375" style="293" customWidth="1"/>
    <col min="9218" max="9218" width="9.140625" style="293" customWidth="1"/>
    <col min="9219" max="9464" width="9.140625" style="293"/>
    <col min="9465" max="9465" width="27.28515625" style="293" customWidth="1"/>
    <col min="9466" max="9466" width="10.7109375" style="293" customWidth="1"/>
    <col min="9467" max="9467" width="9.7109375" style="293" customWidth="1"/>
    <col min="9468" max="9468" width="12.5703125" style="293" customWidth="1"/>
    <col min="9469" max="9469" width="10.28515625" style="293" customWidth="1"/>
    <col min="9470" max="9470" width="13.140625" style="293" customWidth="1"/>
    <col min="9471" max="9471" width="9.7109375" style="293" customWidth="1"/>
    <col min="9472" max="9472" width="11.7109375" style="293" customWidth="1"/>
    <col min="9473" max="9473" width="9.7109375" style="293" customWidth="1"/>
    <col min="9474" max="9474" width="9.140625" style="293" customWidth="1"/>
    <col min="9475" max="9720" width="9.140625" style="293"/>
    <col min="9721" max="9721" width="27.28515625" style="293" customWidth="1"/>
    <col min="9722" max="9722" width="10.7109375" style="293" customWidth="1"/>
    <col min="9723" max="9723" width="9.7109375" style="293" customWidth="1"/>
    <col min="9724" max="9724" width="12.5703125" style="293" customWidth="1"/>
    <col min="9725" max="9725" width="10.28515625" style="293" customWidth="1"/>
    <col min="9726" max="9726" width="13.140625" style="293" customWidth="1"/>
    <col min="9727" max="9727" width="9.7109375" style="293" customWidth="1"/>
    <col min="9728" max="9728" width="11.7109375" style="293" customWidth="1"/>
    <col min="9729" max="9729" width="9.7109375" style="293" customWidth="1"/>
    <col min="9730" max="9730" width="9.140625" style="293" customWidth="1"/>
    <col min="9731" max="9976" width="9.140625" style="293"/>
    <col min="9977" max="9977" width="27.28515625" style="293" customWidth="1"/>
    <col min="9978" max="9978" width="10.7109375" style="293" customWidth="1"/>
    <col min="9979" max="9979" width="9.7109375" style="293" customWidth="1"/>
    <col min="9980" max="9980" width="12.5703125" style="293" customWidth="1"/>
    <col min="9981" max="9981" width="10.28515625" style="293" customWidth="1"/>
    <col min="9982" max="9982" width="13.140625" style="293" customWidth="1"/>
    <col min="9983" max="9983" width="9.7109375" style="293" customWidth="1"/>
    <col min="9984" max="9984" width="11.7109375" style="293" customWidth="1"/>
    <col min="9985" max="9985" width="9.7109375" style="293" customWidth="1"/>
    <col min="9986" max="9986" width="9.140625" style="293" customWidth="1"/>
    <col min="9987" max="10232" width="9.140625" style="293"/>
    <col min="10233" max="10233" width="27.28515625" style="293" customWidth="1"/>
    <col min="10234" max="10234" width="10.7109375" style="293" customWidth="1"/>
    <col min="10235" max="10235" width="9.7109375" style="293" customWidth="1"/>
    <col min="10236" max="10236" width="12.5703125" style="293" customWidth="1"/>
    <col min="10237" max="10237" width="10.28515625" style="293" customWidth="1"/>
    <col min="10238" max="10238" width="13.140625" style="293" customWidth="1"/>
    <col min="10239" max="10239" width="9.7109375" style="293" customWidth="1"/>
    <col min="10240" max="10240" width="11.7109375" style="293" customWidth="1"/>
    <col min="10241" max="10241" width="9.7109375" style="293" customWidth="1"/>
    <col min="10242" max="10242" width="9.140625" style="293" customWidth="1"/>
    <col min="10243" max="10488" width="9.140625" style="293"/>
    <col min="10489" max="10489" width="27.28515625" style="293" customWidth="1"/>
    <col min="10490" max="10490" width="10.7109375" style="293" customWidth="1"/>
    <col min="10491" max="10491" width="9.7109375" style="293" customWidth="1"/>
    <col min="10492" max="10492" width="12.5703125" style="293" customWidth="1"/>
    <col min="10493" max="10493" width="10.28515625" style="293" customWidth="1"/>
    <col min="10494" max="10494" width="13.140625" style="293" customWidth="1"/>
    <col min="10495" max="10495" width="9.7109375" style="293" customWidth="1"/>
    <col min="10496" max="10496" width="11.7109375" style="293" customWidth="1"/>
    <col min="10497" max="10497" width="9.7109375" style="293" customWidth="1"/>
    <col min="10498" max="10498" width="9.140625" style="293" customWidth="1"/>
    <col min="10499" max="10744" width="9.140625" style="293"/>
    <col min="10745" max="10745" width="27.28515625" style="293" customWidth="1"/>
    <col min="10746" max="10746" width="10.7109375" style="293" customWidth="1"/>
    <col min="10747" max="10747" width="9.7109375" style="293" customWidth="1"/>
    <col min="10748" max="10748" width="12.5703125" style="293" customWidth="1"/>
    <col min="10749" max="10749" width="10.28515625" style="293" customWidth="1"/>
    <col min="10750" max="10750" width="13.140625" style="293" customWidth="1"/>
    <col min="10751" max="10751" width="9.7109375" style="293" customWidth="1"/>
    <col min="10752" max="10752" width="11.7109375" style="293" customWidth="1"/>
    <col min="10753" max="10753" width="9.7109375" style="293" customWidth="1"/>
    <col min="10754" max="10754" width="9.140625" style="293" customWidth="1"/>
    <col min="10755" max="11000" width="9.140625" style="293"/>
    <col min="11001" max="11001" width="27.28515625" style="293" customWidth="1"/>
    <col min="11002" max="11002" width="10.7109375" style="293" customWidth="1"/>
    <col min="11003" max="11003" width="9.7109375" style="293" customWidth="1"/>
    <col min="11004" max="11004" width="12.5703125" style="293" customWidth="1"/>
    <col min="11005" max="11005" width="10.28515625" style="293" customWidth="1"/>
    <col min="11006" max="11006" width="13.140625" style="293" customWidth="1"/>
    <col min="11007" max="11007" width="9.7109375" style="293" customWidth="1"/>
    <col min="11008" max="11008" width="11.7109375" style="293" customWidth="1"/>
    <col min="11009" max="11009" width="9.7109375" style="293" customWidth="1"/>
    <col min="11010" max="11010" width="9.140625" style="293" customWidth="1"/>
    <col min="11011" max="11256" width="9.140625" style="293"/>
    <col min="11257" max="11257" width="27.28515625" style="293" customWidth="1"/>
    <col min="11258" max="11258" width="10.7109375" style="293" customWidth="1"/>
    <col min="11259" max="11259" width="9.7109375" style="293" customWidth="1"/>
    <col min="11260" max="11260" width="12.5703125" style="293" customWidth="1"/>
    <col min="11261" max="11261" width="10.28515625" style="293" customWidth="1"/>
    <col min="11262" max="11262" width="13.140625" style="293" customWidth="1"/>
    <col min="11263" max="11263" width="9.7109375" style="293" customWidth="1"/>
    <col min="11264" max="11264" width="11.7109375" style="293" customWidth="1"/>
    <col min="11265" max="11265" width="9.7109375" style="293" customWidth="1"/>
    <col min="11266" max="11266" width="9.140625" style="293" customWidth="1"/>
    <col min="11267" max="11512" width="9.140625" style="293"/>
    <col min="11513" max="11513" width="27.28515625" style="293" customWidth="1"/>
    <col min="11514" max="11514" width="10.7109375" style="293" customWidth="1"/>
    <col min="11515" max="11515" width="9.7109375" style="293" customWidth="1"/>
    <col min="11516" max="11516" width="12.5703125" style="293" customWidth="1"/>
    <col min="11517" max="11517" width="10.28515625" style="293" customWidth="1"/>
    <col min="11518" max="11518" width="13.140625" style="293" customWidth="1"/>
    <col min="11519" max="11519" width="9.7109375" style="293" customWidth="1"/>
    <col min="11520" max="11520" width="11.7109375" style="293" customWidth="1"/>
    <col min="11521" max="11521" width="9.7109375" style="293" customWidth="1"/>
    <col min="11522" max="11522" width="9.140625" style="293" customWidth="1"/>
    <col min="11523" max="11768" width="9.140625" style="293"/>
    <col min="11769" max="11769" width="27.28515625" style="293" customWidth="1"/>
    <col min="11770" max="11770" width="10.7109375" style="293" customWidth="1"/>
    <col min="11771" max="11771" width="9.7109375" style="293" customWidth="1"/>
    <col min="11772" max="11772" width="12.5703125" style="293" customWidth="1"/>
    <col min="11773" max="11773" width="10.28515625" style="293" customWidth="1"/>
    <col min="11774" max="11774" width="13.140625" style="293" customWidth="1"/>
    <col min="11775" max="11775" width="9.7109375" style="293" customWidth="1"/>
    <col min="11776" max="11776" width="11.7109375" style="293" customWidth="1"/>
    <col min="11777" max="11777" width="9.7109375" style="293" customWidth="1"/>
    <col min="11778" max="11778" width="9.140625" style="293" customWidth="1"/>
    <col min="11779" max="12024" width="9.140625" style="293"/>
    <col min="12025" max="12025" width="27.28515625" style="293" customWidth="1"/>
    <col min="12026" max="12026" width="10.7109375" style="293" customWidth="1"/>
    <col min="12027" max="12027" width="9.7109375" style="293" customWidth="1"/>
    <col min="12028" max="12028" width="12.5703125" style="293" customWidth="1"/>
    <col min="12029" max="12029" width="10.28515625" style="293" customWidth="1"/>
    <col min="12030" max="12030" width="13.140625" style="293" customWidth="1"/>
    <col min="12031" max="12031" width="9.7109375" style="293" customWidth="1"/>
    <col min="12032" max="12032" width="11.7109375" style="293" customWidth="1"/>
    <col min="12033" max="12033" width="9.7109375" style="293" customWidth="1"/>
    <col min="12034" max="12034" width="9.140625" style="293" customWidth="1"/>
    <col min="12035" max="12280" width="9.140625" style="293"/>
    <col min="12281" max="12281" width="27.28515625" style="293" customWidth="1"/>
    <col min="12282" max="12282" width="10.7109375" style="293" customWidth="1"/>
    <col min="12283" max="12283" width="9.7109375" style="293" customWidth="1"/>
    <col min="12284" max="12284" width="12.5703125" style="293" customWidth="1"/>
    <col min="12285" max="12285" width="10.28515625" style="293" customWidth="1"/>
    <col min="12286" max="12286" width="13.140625" style="293" customWidth="1"/>
    <col min="12287" max="12287" width="9.7109375" style="293" customWidth="1"/>
    <col min="12288" max="12288" width="11.7109375" style="293" customWidth="1"/>
    <col min="12289" max="12289" width="9.7109375" style="293" customWidth="1"/>
    <col min="12290" max="12290" width="9.140625" style="293" customWidth="1"/>
    <col min="12291" max="12536" width="9.140625" style="293"/>
    <col min="12537" max="12537" width="27.28515625" style="293" customWidth="1"/>
    <col min="12538" max="12538" width="10.7109375" style="293" customWidth="1"/>
    <col min="12539" max="12539" width="9.7109375" style="293" customWidth="1"/>
    <col min="12540" max="12540" width="12.5703125" style="293" customWidth="1"/>
    <col min="12541" max="12541" width="10.28515625" style="293" customWidth="1"/>
    <col min="12542" max="12542" width="13.140625" style="293" customWidth="1"/>
    <col min="12543" max="12543" width="9.7109375" style="293" customWidth="1"/>
    <col min="12544" max="12544" width="11.7109375" style="293" customWidth="1"/>
    <col min="12545" max="12545" width="9.7109375" style="293" customWidth="1"/>
    <col min="12546" max="12546" width="9.140625" style="293" customWidth="1"/>
    <col min="12547" max="12792" width="9.140625" style="293"/>
    <col min="12793" max="12793" width="27.28515625" style="293" customWidth="1"/>
    <col min="12794" max="12794" width="10.7109375" style="293" customWidth="1"/>
    <col min="12795" max="12795" width="9.7109375" style="293" customWidth="1"/>
    <col min="12796" max="12796" width="12.5703125" style="293" customWidth="1"/>
    <col min="12797" max="12797" width="10.28515625" style="293" customWidth="1"/>
    <col min="12798" max="12798" width="13.140625" style="293" customWidth="1"/>
    <col min="12799" max="12799" width="9.7109375" style="293" customWidth="1"/>
    <col min="12800" max="12800" width="11.7109375" style="293" customWidth="1"/>
    <col min="12801" max="12801" width="9.7109375" style="293" customWidth="1"/>
    <col min="12802" max="12802" width="9.140625" style="293" customWidth="1"/>
    <col min="12803" max="13048" width="9.140625" style="293"/>
    <col min="13049" max="13049" width="27.28515625" style="293" customWidth="1"/>
    <col min="13050" max="13050" width="10.7109375" style="293" customWidth="1"/>
    <col min="13051" max="13051" width="9.7109375" style="293" customWidth="1"/>
    <col min="13052" max="13052" width="12.5703125" style="293" customWidth="1"/>
    <col min="13053" max="13053" width="10.28515625" style="293" customWidth="1"/>
    <col min="13054" max="13054" width="13.140625" style="293" customWidth="1"/>
    <col min="13055" max="13055" width="9.7109375" style="293" customWidth="1"/>
    <col min="13056" max="13056" width="11.7109375" style="293" customWidth="1"/>
    <col min="13057" max="13057" width="9.7109375" style="293" customWidth="1"/>
    <col min="13058" max="13058" width="9.140625" style="293" customWidth="1"/>
    <col min="13059" max="13304" width="9.140625" style="293"/>
    <col min="13305" max="13305" width="27.28515625" style="293" customWidth="1"/>
    <col min="13306" max="13306" width="10.7109375" style="293" customWidth="1"/>
    <col min="13307" max="13307" width="9.7109375" style="293" customWidth="1"/>
    <col min="13308" max="13308" width="12.5703125" style="293" customWidth="1"/>
    <col min="13309" max="13309" width="10.28515625" style="293" customWidth="1"/>
    <col min="13310" max="13310" width="13.140625" style="293" customWidth="1"/>
    <col min="13311" max="13311" width="9.7109375" style="293" customWidth="1"/>
    <col min="13312" max="13312" width="11.7109375" style="293" customWidth="1"/>
    <col min="13313" max="13313" width="9.7109375" style="293" customWidth="1"/>
    <col min="13314" max="13314" width="9.140625" style="293" customWidth="1"/>
    <col min="13315" max="13560" width="9.140625" style="293"/>
    <col min="13561" max="13561" width="27.28515625" style="293" customWidth="1"/>
    <col min="13562" max="13562" width="10.7109375" style="293" customWidth="1"/>
    <col min="13563" max="13563" width="9.7109375" style="293" customWidth="1"/>
    <col min="13564" max="13564" width="12.5703125" style="293" customWidth="1"/>
    <col min="13565" max="13565" width="10.28515625" style="293" customWidth="1"/>
    <col min="13566" max="13566" width="13.140625" style="293" customWidth="1"/>
    <col min="13567" max="13567" width="9.7109375" style="293" customWidth="1"/>
    <col min="13568" max="13568" width="11.7109375" style="293" customWidth="1"/>
    <col min="13569" max="13569" width="9.7109375" style="293" customWidth="1"/>
    <col min="13570" max="13570" width="9.140625" style="293" customWidth="1"/>
    <col min="13571" max="13816" width="9.140625" style="293"/>
    <col min="13817" max="13817" width="27.28515625" style="293" customWidth="1"/>
    <col min="13818" max="13818" width="10.7109375" style="293" customWidth="1"/>
    <col min="13819" max="13819" width="9.7109375" style="293" customWidth="1"/>
    <col min="13820" max="13820" width="12.5703125" style="293" customWidth="1"/>
    <col min="13821" max="13821" width="10.28515625" style="293" customWidth="1"/>
    <col min="13822" max="13822" width="13.140625" style="293" customWidth="1"/>
    <col min="13823" max="13823" width="9.7109375" style="293" customWidth="1"/>
    <col min="13824" max="13824" width="11.7109375" style="293" customWidth="1"/>
    <col min="13825" max="13825" width="9.7109375" style="293" customWidth="1"/>
    <col min="13826" max="13826" width="9.140625" style="293" customWidth="1"/>
    <col min="13827" max="14072" width="9.140625" style="293"/>
    <col min="14073" max="14073" width="27.28515625" style="293" customWidth="1"/>
    <col min="14074" max="14074" width="10.7109375" style="293" customWidth="1"/>
    <col min="14075" max="14075" width="9.7109375" style="293" customWidth="1"/>
    <col min="14076" max="14076" width="12.5703125" style="293" customWidth="1"/>
    <col min="14077" max="14077" width="10.28515625" style="293" customWidth="1"/>
    <col min="14078" max="14078" width="13.140625" style="293" customWidth="1"/>
    <col min="14079" max="14079" width="9.7109375" style="293" customWidth="1"/>
    <col min="14080" max="14080" width="11.7109375" style="293" customWidth="1"/>
    <col min="14081" max="14081" width="9.7109375" style="293" customWidth="1"/>
    <col min="14082" max="14082" width="9.140625" style="293" customWidth="1"/>
    <col min="14083" max="14328" width="9.140625" style="293"/>
    <col min="14329" max="14329" width="27.28515625" style="293" customWidth="1"/>
    <col min="14330" max="14330" width="10.7109375" style="293" customWidth="1"/>
    <col min="14331" max="14331" width="9.7109375" style="293" customWidth="1"/>
    <col min="14332" max="14332" width="12.5703125" style="293" customWidth="1"/>
    <col min="14333" max="14333" width="10.28515625" style="293" customWidth="1"/>
    <col min="14334" max="14334" width="13.140625" style="293" customWidth="1"/>
    <col min="14335" max="14335" width="9.7109375" style="293" customWidth="1"/>
    <col min="14336" max="14336" width="11.7109375" style="293" customWidth="1"/>
    <col min="14337" max="14337" width="9.7109375" style="293" customWidth="1"/>
    <col min="14338" max="14338" width="9.140625" style="293" customWidth="1"/>
    <col min="14339" max="14584" width="9.140625" style="293"/>
    <col min="14585" max="14585" width="27.28515625" style="293" customWidth="1"/>
    <col min="14586" max="14586" width="10.7109375" style="293" customWidth="1"/>
    <col min="14587" max="14587" width="9.7109375" style="293" customWidth="1"/>
    <col min="14588" max="14588" width="12.5703125" style="293" customWidth="1"/>
    <col min="14589" max="14589" width="10.28515625" style="293" customWidth="1"/>
    <col min="14590" max="14590" width="13.140625" style="293" customWidth="1"/>
    <col min="14591" max="14591" width="9.7109375" style="293" customWidth="1"/>
    <col min="14592" max="14592" width="11.7109375" style="293" customWidth="1"/>
    <col min="14593" max="14593" width="9.7109375" style="293" customWidth="1"/>
    <col min="14594" max="14594" width="9.140625" style="293" customWidth="1"/>
    <col min="14595" max="14840" width="9.140625" style="293"/>
    <col min="14841" max="14841" width="27.28515625" style="293" customWidth="1"/>
    <col min="14842" max="14842" width="10.7109375" style="293" customWidth="1"/>
    <col min="14843" max="14843" width="9.7109375" style="293" customWidth="1"/>
    <col min="14844" max="14844" width="12.5703125" style="293" customWidth="1"/>
    <col min="14845" max="14845" width="10.28515625" style="293" customWidth="1"/>
    <col min="14846" max="14846" width="13.140625" style="293" customWidth="1"/>
    <col min="14847" max="14847" width="9.7109375" style="293" customWidth="1"/>
    <col min="14848" max="14848" width="11.7109375" style="293" customWidth="1"/>
    <col min="14849" max="14849" width="9.7109375" style="293" customWidth="1"/>
    <col min="14850" max="14850" width="9.140625" style="293" customWidth="1"/>
    <col min="14851" max="15096" width="9.140625" style="293"/>
    <col min="15097" max="15097" width="27.28515625" style="293" customWidth="1"/>
    <col min="15098" max="15098" width="10.7109375" style="293" customWidth="1"/>
    <col min="15099" max="15099" width="9.7109375" style="293" customWidth="1"/>
    <col min="15100" max="15100" width="12.5703125" style="293" customWidth="1"/>
    <col min="15101" max="15101" width="10.28515625" style="293" customWidth="1"/>
    <col min="15102" max="15102" width="13.140625" style="293" customWidth="1"/>
    <col min="15103" max="15103" width="9.7109375" style="293" customWidth="1"/>
    <col min="15104" max="15104" width="11.7109375" style="293" customWidth="1"/>
    <col min="15105" max="15105" width="9.7109375" style="293" customWidth="1"/>
    <col min="15106" max="15106" width="9.140625" style="293" customWidth="1"/>
    <col min="15107" max="15352" width="9.140625" style="293"/>
    <col min="15353" max="15353" width="27.28515625" style="293" customWidth="1"/>
    <col min="15354" max="15354" width="10.7109375" style="293" customWidth="1"/>
    <col min="15355" max="15355" width="9.7109375" style="293" customWidth="1"/>
    <col min="15356" max="15356" width="12.5703125" style="293" customWidth="1"/>
    <col min="15357" max="15357" width="10.28515625" style="293" customWidth="1"/>
    <col min="15358" max="15358" width="13.140625" style="293" customWidth="1"/>
    <col min="15359" max="15359" width="9.7109375" style="293" customWidth="1"/>
    <col min="15360" max="15360" width="11.7109375" style="293" customWidth="1"/>
    <col min="15361" max="15361" width="9.7109375" style="293" customWidth="1"/>
    <col min="15362" max="15362" width="9.140625" style="293" customWidth="1"/>
    <col min="15363" max="15608" width="9.140625" style="293"/>
    <col min="15609" max="15609" width="27.28515625" style="293" customWidth="1"/>
    <col min="15610" max="15610" width="10.7109375" style="293" customWidth="1"/>
    <col min="15611" max="15611" width="9.7109375" style="293" customWidth="1"/>
    <col min="15612" max="15612" width="12.5703125" style="293" customWidth="1"/>
    <col min="15613" max="15613" width="10.28515625" style="293" customWidth="1"/>
    <col min="15614" max="15614" width="13.140625" style="293" customWidth="1"/>
    <col min="15615" max="15615" width="9.7109375" style="293" customWidth="1"/>
    <col min="15616" max="15616" width="11.7109375" style="293" customWidth="1"/>
    <col min="15617" max="15617" width="9.7109375" style="293" customWidth="1"/>
    <col min="15618" max="15618" width="9.140625" style="293" customWidth="1"/>
    <col min="15619" max="15864" width="9.140625" style="293"/>
    <col min="15865" max="15865" width="27.28515625" style="293" customWidth="1"/>
    <col min="15866" max="15866" width="10.7109375" style="293" customWidth="1"/>
    <col min="15867" max="15867" width="9.7109375" style="293" customWidth="1"/>
    <col min="15868" max="15868" width="12.5703125" style="293" customWidth="1"/>
    <col min="15869" max="15869" width="10.28515625" style="293" customWidth="1"/>
    <col min="15870" max="15870" width="13.140625" style="293" customWidth="1"/>
    <col min="15871" max="15871" width="9.7109375" style="293" customWidth="1"/>
    <col min="15872" max="15872" width="11.7109375" style="293" customWidth="1"/>
    <col min="15873" max="15873" width="9.7109375" style="293" customWidth="1"/>
    <col min="15874" max="15874" width="9.140625" style="293" customWidth="1"/>
    <col min="15875" max="16120" width="9.140625" style="293"/>
    <col min="16121" max="16121" width="27.28515625" style="293" customWidth="1"/>
    <col min="16122" max="16122" width="10.7109375" style="293" customWidth="1"/>
    <col min="16123" max="16123" width="9.7109375" style="293" customWidth="1"/>
    <col min="16124" max="16124" width="12.5703125" style="293" customWidth="1"/>
    <col min="16125" max="16125" width="10.28515625" style="293" customWidth="1"/>
    <col min="16126" max="16126" width="13.140625" style="293" customWidth="1"/>
    <col min="16127" max="16127" width="9.7109375" style="293" customWidth="1"/>
    <col min="16128" max="16128" width="11.7109375" style="293" customWidth="1"/>
    <col min="16129" max="16129" width="9.7109375" style="293" customWidth="1"/>
    <col min="16130" max="16130" width="9.140625" style="293" customWidth="1"/>
    <col min="16131" max="16384" width="9.140625" style="293"/>
  </cols>
  <sheetData>
    <row r="3" spans="1:9" ht="20.25" x14ac:dyDescent="0.2">
      <c r="A3" s="648" t="s">
        <v>258</v>
      </c>
      <c r="B3" s="649"/>
      <c r="C3" s="649"/>
      <c r="D3" s="649"/>
      <c r="E3" s="649"/>
      <c r="F3" s="649"/>
      <c r="G3" s="649"/>
      <c r="H3" s="649"/>
      <c r="I3" s="292"/>
    </row>
    <row r="4" spans="1:9" ht="20.25" x14ac:dyDescent="0.2">
      <c r="A4" s="648" t="s">
        <v>335</v>
      </c>
      <c r="B4" s="649"/>
      <c r="C4" s="649"/>
      <c r="D4" s="649"/>
      <c r="E4" s="649"/>
      <c r="F4" s="649"/>
      <c r="G4" s="649"/>
      <c r="H4" s="649"/>
      <c r="I4" s="292"/>
    </row>
    <row r="5" spans="1:9" ht="20.25" x14ac:dyDescent="0.2">
      <c r="A5" s="294"/>
      <c r="B5" s="295"/>
      <c r="C5" s="295"/>
      <c r="D5" s="295"/>
      <c r="E5" s="295"/>
      <c r="F5" s="295"/>
      <c r="G5" s="295"/>
      <c r="H5" s="295"/>
      <c r="I5" s="292"/>
    </row>
    <row r="6" spans="1:9" ht="20.25" x14ac:dyDescent="0.2">
      <c r="A6" s="294"/>
      <c r="B6" s="295"/>
      <c r="C6" s="295"/>
      <c r="D6" s="295"/>
      <c r="E6" s="295"/>
      <c r="F6" s="295"/>
      <c r="G6" s="295"/>
      <c r="H6" s="295"/>
      <c r="I6" s="292"/>
    </row>
    <row r="7" spans="1:9" ht="20.25" x14ac:dyDescent="0.2">
      <c r="A7" s="294"/>
      <c r="B7" s="295"/>
      <c r="C7" s="295"/>
      <c r="D7" s="295"/>
      <c r="E7" s="295"/>
      <c r="F7" s="295"/>
      <c r="G7" s="295"/>
      <c r="H7" s="295"/>
      <c r="I7" s="292"/>
    </row>
    <row r="8" spans="1:9" ht="20.25" x14ac:dyDescent="0.2">
      <c r="A8" s="294"/>
      <c r="B8" s="295"/>
      <c r="C8" s="295"/>
      <c r="D8" s="295"/>
      <c r="E8" s="295"/>
      <c r="F8" s="295"/>
      <c r="G8" s="295"/>
      <c r="H8" s="295"/>
      <c r="I8" s="292"/>
    </row>
    <row r="9" spans="1:9" ht="16.5" customHeight="1" x14ac:dyDescent="0.2">
      <c r="A9" s="296"/>
      <c r="B9" s="297"/>
      <c r="C9" s="298"/>
      <c r="D9" s="298"/>
      <c r="E9" s="298"/>
      <c r="F9" s="298"/>
      <c r="G9" s="298"/>
      <c r="H9" s="646" t="s">
        <v>259</v>
      </c>
      <c r="I9" s="646"/>
    </row>
    <row r="10" spans="1:9" ht="14.25" customHeight="1" thickBot="1" x14ac:dyDescent="0.25">
      <c r="A10" s="650"/>
      <c r="B10" s="650"/>
      <c r="C10" s="650"/>
      <c r="D10" s="650"/>
      <c r="E10" s="298"/>
      <c r="F10" s="298"/>
      <c r="G10" s="298"/>
      <c r="H10" s="298"/>
      <c r="I10" s="299" t="s">
        <v>260</v>
      </c>
    </row>
    <row r="11" spans="1:9" ht="21.6" customHeight="1" thickBot="1" x14ac:dyDescent="0.25">
      <c r="A11" s="629" t="s">
        <v>261</v>
      </c>
      <c r="B11" s="643" t="s">
        <v>262</v>
      </c>
      <c r="C11" s="644"/>
      <c r="D11" s="644"/>
      <c r="E11" s="645"/>
      <c r="F11" s="652" t="s">
        <v>263</v>
      </c>
      <c r="G11" s="653"/>
      <c r="H11" s="653"/>
      <c r="I11" s="654"/>
    </row>
    <row r="12" spans="1:9" ht="39.75" customHeight="1" thickBot="1" x14ac:dyDescent="0.25">
      <c r="A12" s="651"/>
      <c r="B12" s="300" t="s">
        <v>53</v>
      </c>
      <c r="C12" s="300" t="s">
        <v>264</v>
      </c>
      <c r="D12" s="301" t="s">
        <v>240</v>
      </c>
      <c r="E12" s="302" t="s">
        <v>238</v>
      </c>
      <c r="F12" s="300" t="s">
        <v>53</v>
      </c>
      <c r="G12" s="300" t="s">
        <v>264</v>
      </c>
      <c r="H12" s="301" t="s">
        <v>240</v>
      </c>
      <c r="I12" s="303" t="s">
        <v>238</v>
      </c>
    </row>
    <row r="13" spans="1:9" ht="22.5" customHeight="1" thickBot="1" x14ac:dyDescent="0.25">
      <c r="A13" s="304" t="s">
        <v>265</v>
      </c>
      <c r="B13" s="305">
        <f>SUM(B14:B18)</f>
        <v>121378</v>
      </c>
      <c r="C13" s="306">
        <f>SUM(C14:C18)</f>
        <v>91876</v>
      </c>
      <c r="D13" s="307">
        <f>SUM(D14:D18)</f>
        <v>92192.93</v>
      </c>
      <c r="E13" s="308">
        <f>D13/C13*100</f>
        <v>100.34495406852714</v>
      </c>
      <c r="F13" s="309">
        <f>SUM(F14:F18)</f>
        <v>71968</v>
      </c>
      <c r="G13" s="306">
        <f>SUM(G14:G18)</f>
        <v>48855</v>
      </c>
      <c r="H13" s="307">
        <f>SUM(H14:H18)</f>
        <v>62973.54</v>
      </c>
      <c r="I13" s="310">
        <f>H13/G13*100</f>
        <v>128.89886398526252</v>
      </c>
    </row>
    <row r="14" spans="1:9" ht="15" customHeight="1" x14ac:dyDescent="0.2">
      <c r="A14" s="311" t="s">
        <v>266</v>
      </c>
      <c r="B14" s="312">
        <v>56900</v>
      </c>
      <c r="C14" s="313">
        <v>40180</v>
      </c>
      <c r="D14" s="314">
        <v>35453</v>
      </c>
      <c r="E14" s="315">
        <f t="shared" ref="E14:E43" si="0">D14/C14*100</f>
        <v>88.235440517670483</v>
      </c>
      <c r="F14" s="312">
        <v>33560</v>
      </c>
      <c r="G14" s="316">
        <v>20560</v>
      </c>
      <c r="H14" s="314">
        <v>23857</v>
      </c>
      <c r="I14" s="317">
        <f>H14/G14*100</f>
        <v>116.03599221789884</v>
      </c>
    </row>
    <row r="15" spans="1:9" ht="14.25" customHeight="1" x14ac:dyDescent="0.2">
      <c r="A15" s="318" t="s">
        <v>267</v>
      </c>
      <c r="B15" s="319">
        <v>36520</v>
      </c>
      <c r="C15" s="320">
        <v>25520</v>
      </c>
      <c r="D15" s="321">
        <v>21695.759999999998</v>
      </c>
      <c r="E15" s="322">
        <f t="shared" si="0"/>
        <v>85.014733542319746</v>
      </c>
      <c r="F15" s="319">
        <v>22965</v>
      </c>
      <c r="G15" s="323">
        <v>11965</v>
      </c>
      <c r="H15" s="321">
        <v>12542.6</v>
      </c>
      <c r="I15" s="324">
        <f t="shared" ref="I15:I30" si="1">H15/G15*100</f>
        <v>104.82741328875889</v>
      </c>
    </row>
    <row r="16" spans="1:9" ht="15.75" customHeight="1" x14ac:dyDescent="0.2">
      <c r="A16" s="325" t="s">
        <v>268</v>
      </c>
      <c r="B16" s="319">
        <v>10489</v>
      </c>
      <c r="C16" s="320">
        <v>7040</v>
      </c>
      <c r="D16" s="321">
        <v>6408.56</v>
      </c>
      <c r="E16" s="322">
        <f t="shared" si="0"/>
        <v>91.030681818181819</v>
      </c>
      <c r="F16" s="319">
        <v>7484</v>
      </c>
      <c r="G16" s="323">
        <v>7484</v>
      </c>
      <c r="H16" s="321">
        <v>7327.57</v>
      </c>
      <c r="I16" s="324">
        <f t="shared" si="1"/>
        <v>97.909807589524306</v>
      </c>
    </row>
    <row r="17" spans="1:9" ht="14.25" customHeight="1" x14ac:dyDescent="0.2">
      <c r="A17" s="318" t="s">
        <v>269</v>
      </c>
      <c r="B17" s="319">
        <v>17467</v>
      </c>
      <c r="C17" s="320">
        <v>17467</v>
      </c>
      <c r="D17" s="321">
        <v>26728.14</v>
      </c>
      <c r="E17" s="322">
        <f t="shared" si="0"/>
        <v>153.02078204614415</v>
      </c>
      <c r="F17" s="319">
        <v>7959</v>
      </c>
      <c r="G17" s="323">
        <v>7959</v>
      </c>
      <c r="H17" s="321">
        <v>15254.68</v>
      </c>
      <c r="I17" s="324">
        <f t="shared" si="1"/>
        <v>191.66578715919084</v>
      </c>
    </row>
    <row r="18" spans="1:9" ht="15.75" customHeight="1" thickBot="1" x14ac:dyDescent="0.25">
      <c r="A18" s="318" t="s">
        <v>270</v>
      </c>
      <c r="B18" s="326">
        <v>2</v>
      </c>
      <c r="C18" s="327">
        <v>1669</v>
      </c>
      <c r="D18" s="328">
        <f>1500+250+157.38+0.09</f>
        <v>1907.47</v>
      </c>
      <c r="E18" s="329">
        <f t="shared" si="0"/>
        <v>114.2881965248652</v>
      </c>
      <c r="F18" s="326">
        <v>0</v>
      </c>
      <c r="G18" s="330">
        <v>887</v>
      </c>
      <c r="H18" s="328">
        <f>3120+865.35+6.34</f>
        <v>3991.69</v>
      </c>
      <c r="I18" s="331">
        <f t="shared" si="1"/>
        <v>450.0214205186021</v>
      </c>
    </row>
    <row r="19" spans="1:9" ht="21.75" customHeight="1" thickBot="1" x14ac:dyDescent="0.25">
      <c r="A19" s="332" t="s">
        <v>271</v>
      </c>
      <c r="B19" s="309">
        <f>B23+B34+B35</f>
        <v>1003072</v>
      </c>
      <c r="C19" s="306">
        <f>C23+C34+C35</f>
        <v>1215020</v>
      </c>
      <c r="D19" s="307">
        <f>D23+D34+D35</f>
        <v>1210648.56</v>
      </c>
      <c r="E19" s="308">
        <f t="shared" si="0"/>
        <v>99.640216621948625</v>
      </c>
      <c r="F19" s="309">
        <f>F23+F34+F35</f>
        <v>815676</v>
      </c>
      <c r="G19" s="306">
        <f>G23+G34+G35</f>
        <v>930015</v>
      </c>
      <c r="H19" s="307">
        <f>H23+H34+H35</f>
        <v>943735.29</v>
      </c>
      <c r="I19" s="310">
        <f t="shared" si="1"/>
        <v>101.4752762052225</v>
      </c>
    </row>
    <row r="20" spans="1:9" ht="15.75" customHeight="1" x14ac:dyDescent="0.2">
      <c r="A20" s="311" t="s">
        <v>272</v>
      </c>
      <c r="B20" s="312">
        <v>863067</v>
      </c>
      <c r="C20" s="316">
        <v>983236</v>
      </c>
      <c r="D20" s="314">
        <v>983236</v>
      </c>
      <c r="E20" s="315">
        <f t="shared" si="0"/>
        <v>100</v>
      </c>
      <c r="F20" s="312">
        <v>711030</v>
      </c>
      <c r="G20" s="316">
        <v>749331</v>
      </c>
      <c r="H20" s="314">
        <v>749331</v>
      </c>
      <c r="I20" s="317">
        <f t="shared" si="1"/>
        <v>100</v>
      </c>
    </row>
    <row r="21" spans="1:9" ht="15.75" customHeight="1" x14ac:dyDescent="0.2">
      <c r="A21" s="333" t="s">
        <v>273</v>
      </c>
      <c r="B21" s="319">
        <v>140005</v>
      </c>
      <c r="C21" s="323">
        <v>162147</v>
      </c>
      <c r="D21" s="321">
        <v>141244.57</v>
      </c>
      <c r="E21" s="322">
        <f t="shared" si="0"/>
        <v>87.108962854693587</v>
      </c>
      <c r="F21" s="319">
        <v>104646</v>
      </c>
      <c r="G21" s="323">
        <v>125278</v>
      </c>
      <c r="H21" s="321">
        <v>116614.65</v>
      </c>
      <c r="I21" s="324">
        <f t="shared" si="1"/>
        <v>93.084699628027266</v>
      </c>
    </row>
    <row r="22" spans="1:9" ht="15.75" customHeight="1" thickBot="1" x14ac:dyDescent="0.25">
      <c r="A22" s="333" t="s">
        <v>274</v>
      </c>
      <c r="B22" s="334">
        <v>0</v>
      </c>
      <c r="C22" s="335">
        <v>0</v>
      </c>
      <c r="D22" s="336">
        <v>16280.99</v>
      </c>
      <c r="E22" s="337"/>
      <c r="F22" s="334">
        <v>0</v>
      </c>
      <c r="G22" s="335">
        <v>0</v>
      </c>
      <c r="H22" s="336">
        <v>22383.64</v>
      </c>
      <c r="I22" s="338"/>
    </row>
    <row r="23" spans="1:9" ht="24" customHeight="1" thickBot="1" x14ac:dyDescent="0.25">
      <c r="A23" s="339" t="s">
        <v>275</v>
      </c>
      <c r="B23" s="340">
        <f>SUM(B20:B22)</f>
        <v>1003072</v>
      </c>
      <c r="C23" s="341">
        <f>SUM(C20:C22)</f>
        <v>1145383</v>
      </c>
      <c r="D23" s="342">
        <f>SUM(D20:D22)</f>
        <v>1140761.56</v>
      </c>
      <c r="E23" s="343">
        <f t="shared" si="0"/>
        <v>99.596515750626651</v>
      </c>
      <c r="F23" s="340">
        <f>SUM(F20:F22)</f>
        <v>815676</v>
      </c>
      <c r="G23" s="341">
        <f>SUM(G20:G22)</f>
        <v>874609</v>
      </c>
      <c r="H23" s="342">
        <f>SUM(H20:H22)</f>
        <v>888329.29</v>
      </c>
      <c r="I23" s="344">
        <f t="shared" si="1"/>
        <v>101.56873414291417</v>
      </c>
    </row>
    <row r="24" spans="1:9" ht="15.75" customHeight="1" x14ac:dyDescent="0.2">
      <c r="A24" s="345" t="s">
        <v>276</v>
      </c>
      <c r="B24" s="346">
        <v>0</v>
      </c>
      <c r="C24" s="347">
        <v>17850</v>
      </c>
      <c r="D24" s="348">
        <v>17850</v>
      </c>
      <c r="E24" s="349">
        <f t="shared" si="0"/>
        <v>100</v>
      </c>
      <c r="F24" s="346">
        <v>0</v>
      </c>
      <c r="G24" s="350">
        <v>11123</v>
      </c>
      <c r="H24" s="348">
        <v>11123</v>
      </c>
      <c r="I24" s="351">
        <f t="shared" si="1"/>
        <v>100</v>
      </c>
    </row>
    <row r="25" spans="1:9" ht="15.75" customHeight="1" x14ac:dyDescent="0.2">
      <c r="A25" s="325" t="s">
        <v>277</v>
      </c>
      <c r="B25" s="319">
        <v>0</v>
      </c>
      <c r="C25" s="352">
        <v>2954</v>
      </c>
      <c r="D25" s="321">
        <v>2954</v>
      </c>
      <c r="E25" s="349">
        <f t="shared" si="0"/>
        <v>100</v>
      </c>
      <c r="F25" s="319">
        <v>0</v>
      </c>
      <c r="G25" s="323">
        <v>8484</v>
      </c>
      <c r="H25" s="321">
        <v>8484</v>
      </c>
      <c r="I25" s="324">
        <f t="shared" si="1"/>
        <v>100</v>
      </c>
    </row>
    <row r="26" spans="1:9" ht="15.75" customHeight="1" x14ac:dyDescent="0.2">
      <c r="A26" s="325" t="s">
        <v>278</v>
      </c>
      <c r="B26" s="319">
        <v>0</v>
      </c>
      <c r="C26" s="352">
        <v>26823</v>
      </c>
      <c r="D26" s="321">
        <v>26823</v>
      </c>
      <c r="E26" s="322">
        <f t="shared" si="0"/>
        <v>100</v>
      </c>
      <c r="F26" s="319">
        <v>0</v>
      </c>
      <c r="G26" s="323">
        <v>23165</v>
      </c>
      <c r="H26" s="321">
        <v>23165</v>
      </c>
      <c r="I26" s="324">
        <f t="shared" si="1"/>
        <v>100</v>
      </c>
    </row>
    <row r="27" spans="1:9" ht="15.75" customHeight="1" x14ac:dyDescent="0.2">
      <c r="A27" s="325" t="s">
        <v>279</v>
      </c>
      <c r="B27" s="319">
        <v>0</v>
      </c>
      <c r="C27" s="352">
        <v>0</v>
      </c>
      <c r="D27" s="321">
        <v>0</v>
      </c>
      <c r="E27" s="322"/>
      <c r="F27" s="319">
        <v>0</v>
      </c>
      <c r="G27" s="323">
        <v>0</v>
      </c>
      <c r="H27" s="321">
        <v>0</v>
      </c>
      <c r="I27" s="324"/>
    </row>
    <row r="28" spans="1:9" ht="15.75" customHeight="1" x14ac:dyDescent="0.2">
      <c r="A28" s="353" t="s">
        <v>280</v>
      </c>
      <c r="B28" s="319">
        <v>0</v>
      </c>
      <c r="C28" s="352">
        <v>0</v>
      </c>
      <c r="D28" s="321">
        <v>0</v>
      </c>
      <c r="E28" s="322"/>
      <c r="F28" s="319">
        <v>0</v>
      </c>
      <c r="G28" s="323">
        <v>0</v>
      </c>
      <c r="H28" s="321">
        <v>0</v>
      </c>
      <c r="I28" s="324"/>
    </row>
    <row r="29" spans="1:9" ht="15.75" customHeight="1" x14ac:dyDescent="0.2">
      <c r="A29" s="353" t="s">
        <v>281</v>
      </c>
      <c r="B29" s="319">
        <v>0</v>
      </c>
      <c r="C29" s="352">
        <v>19160</v>
      </c>
      <c r="D29" s="321">
        <v>19160</v>
      </c>
      <c r="E29" s="322">
        <f t="shared" si="0"/>
        <v>100</v>
      </c>
      <c r="F29" s="319">
        <v>0</v>
      </c>
      <c r="G29" s="323">
        <v>11284</v>
      </c>
      <c r="H29" s="321">
        <v>11284</v>
      </c>
      <c r="I29" s="324">
        <f t="shared" si="1"/>
        <v>100</v>
      </c>
    </row>
    <row r="30" spans="1:9" ht="15.75" customHeight="1" x14ac:dyDescent="0.2">
      <c r="A30" s="353" t="s">
        <v>282</v>
      </c>
      <c r="B30" s="319">
        <v>0</v>
      </c>
      <c r="C30" s="352">
        <v>2850</v>
      </c>
      <c r="D30" s="321">
        <v>2850</v>
      </c>
      <c r="E30" s="322">
        <f t="shared" si="0"/>
        <v>100</v>
      </c>
      <c r="F30" s="319">
        <v>0</v>
      </c>
      <c r="G30" s="323">
        <v>1350</v>
      </c>
      <c r="H30" s="321">
        <v>1350</v>
      </c>
      <c r="I30" s="324">
        <f t="shared" si="1"/>
        <v>100</v>
      </c>
    </row>
    <row r="31" spans="1:9" ht="15.75" customHeight="1" x14ac:dyDescent="0.2">
      <c r="A31" s="353" t="s">
        <v>283</v>
      </c>
      <c r="B31" s="319">
        <v>0</v>
      </c>
      <c r="C31" s="352">
        <v>0</v>
      </c>
      <c r="D31" s="321">
        <v>0</v>
      </c>
      <c r="E31" s="322"/>
      <c r="F31" s="319">
        <v>0</v>
      </c>
      <c r="G31" s="323">
        <v>0</v>
      </c>
      <c r="H31" s="321">
        <v>0</v>
      </c>
      <c r="I31" s="324"/>
    </row>
    <row r="32" spans="1:9" ht="15.75" customHeight="1" x14ac:dyDescent="0.2">
      <c r="A32" s="353" t="s">
        <v>284</v>
      </c>
      <c r="B32" s="319">
        <v>0</v>
      </c>
      <c r="C32" s="352">
        <v>0</v>
      </c>
      <c r="D32" s="321">
        <v>0</v>
      </c>
      <c r="E32" s="322"/>
      <c r="F32" s="319">
        <v>0</v>
      </c>
      <c r="G32" s="323">
        <v>0</v>
      </c>
      <c r="H32" s="321">
        <v>0</v>
      </c>
      <c r="I32" s="324"/>
    </row>
    <row r="33" spans="1:9" ht="15.75" customHeight="1" thickBot="1" x14ac:dyDescent="0.25">
      <c r="A33" s="354" t="s">
        <v>285</v>
      </c>
      <c r="B33" s="334">
        <v>0</v>
      </c>
      <c r="C33" s="355">
        <v>0</v>
      </c>
      <c r="D33" s="356">
        <v>0</v>
      </c>
      <c r="E33" s="337"/>
      <c r="F33" s="334">
        <v>0</v>
      </c>
      <c r="G33" s="357">
        <v>0</v>
      </c>
      <c r="H33" s="356">
        <v>0</v>
      </c>
      <c r="I33" s="338"/>
    </row>
    <row r="34" spans="1:9" ht="19.149999999999999" customHeight="1" thickBot="1" x14ac:dyDescent="0.25">
      <c r="A34" s="358" t="s">
        <v>286</v>
      </c>
      <c r="B34" s="359">
        <f>SUM(B24:B33)</f>
        <v>0</v>
      </c>
      <c r="C34" s="360">
        <f>SUM(C24:C33)</f>
        <v>69637</v>
      </c>
      <c r="D34" s="361">
        <f>SUM(D24:D33)</f>
        <v>69637</v>
      </c>
      <c r="E34" s="362">
        <f t="shared" si="0"/>
        <v>100</v>
      </c>
      <c r="F34" s="363">
        <f>SUM(F24:F33)</f>
        <v>0</v>
      </c>
      <c r="G34" s="360">
        <f>SUM(G24:G33)</f>
        <v>55406</v>
      </c>
      <c r="H34" s="361">
        <f>SUM(H24:H33)</f>
        <v>55406</v>
      </c>
      <c r="I34" s="364">
        <f t="shared" ref="I34:I43" si="2">H34/G34*100</f>
        <v>100</v>
      </c>
    </row>
    <row r="35" spans="1:9" ht="20.45" customHeight="1" thickBot="1" x14ac:dyDescent="0.25">
      <c r="A35" s="358" t="s">
        <v>287</v>
      </c>
      <c r="B35" s="359">
        <v>0</v>
      </c>
      <c r="C35" s="360">
        <v>0</v>
      </c>
      <c r="D35" s="365">
        <v>250</v>
      </c>
      <c r="E35" s="362"/>
      <c r="F35" s="363">
        <v>0</v>
      </c>
      <c r="G35" s="366">
        <v>0</v>
      </c>
      <c r="H35" s="365">
        <v>0</v>
      </c>
      <c r="I35" s="364"/>
    </row>
    <row r="36" spans="1:9" ht="31.15" customHeight="1" thickBot="1" x14ac:dyDescent="0.25">
      <c r="A36" s="332" t="s">
        <v>288</v>
      </c>
      <c r="B36" s="309">
        <f>SUM(B37:B41)</f>
        <v>353820</v>
      </c>
      <c r="C36" s="306">
        <f>SUM(C37:C41)</f>
        <v>370611</v>
      </c>
      <c r="D36" s="307">
        <f>SUM(D37:D41)</f>
        <v>370046.25</v>
      </c>
      <c r="E36" s="308">
        <f t="shared" si="0"/>
        <v>99.847616503557632</v>
      </c>
      <c r="F36" s="309">
        <f>SUM(F37:F41)</f>
        <v>294666</v>
      </c>
      <c r="G36" s="306">
        <f>SUM(G37:G41)</f>
        <v>342074</v>
      </c>
      <c r="H36" s="307">
        <f>SUM(H37:H41)</f>
        <v>341856.57</v>
      </c>
      <c r="I36" s="310">
        <f t="shared" si="2"/>
        <v>99.936437729847924</v>
      </c>
    </row>
    <row r="37" spans="1:9" ht="15.75" customHeight="1" x14ac:dyDescent="0.2">
      <c r="A37" s="367" t="s">
        <v>289</v>
      </c>
      <c r="B37" s="346">
        <v>0</v>
      </c>
      <c r="C37" s="350">
        <v>7484</v>
      </c>
      <c r="D37" s="336">
        <v>7484</v>
      </c>
      <c r="E37" s="322">
        <f t="shared" si="0"/>
        <v>100</v>
      </c>
      <c r="F37" s="346">
        <v>0</v>
      </c>
      <c r="G37" s="350">
        <v>1000</v>
      </c>
      <c r="H37" s="348">
        <v>1001.19</v>
      </c>
      <c r="I37" s="324">
        <f t="shared" si="2"/>
        <v>100.119</v>
      </c>
    </row>
    <row r="38" spans="1:9" ht="15.75" customHeight="1" x14ac:dyDescent="0.2">
      <c r="A38" s="368" t="s">
        <v>290</v>
      </c>
      <c r="B38" s="319">
        <v>129355</v>
      </c>
      <c r="C38" s="320">
        <v>130097</v>
      </c>
      <c r="D38" s="321">
        <v>130097</v>
      </c>
      <c r="E38" s="322">
        <f t="shared" si="0"/>
        <v>100</v>
      </c>
      <c r="F38" s="319">
        <v>121477</v>
      </c>
      <c r="G38" s="323">
        <v>130395</v>
      </c>
      <c r="H38" s="321">
        <v>130395</v>
      </c>
      <c r="I38" s="324">
        <f t="shared" si="2"/>
        <v>100</v>
      </c>
    </row>
    <row r="39" spans="1:9" ht="15.75" customHeight="1" x14ac:dyDescent="0.2">
      <c r="A39" s="369" t="s">
        <v>291</v>
      </c>
      <c r="B39" s="319">
        <v>26320</v>
      </c>
      <c r="C39" s="320">
        <v>26320</v>
      </c>
      <c r="D39" s="321">
        <v>25755.25</v>
      </c>
      <c r="E39" s="322">
        <f t="shared" si="0"/>
        <v>97.854293313069903</v>
      </c>
      <c r="F39" s="319">
        <v>15400</v>
      </c>
      <c r="G39" s="323">
        <v>15720</v>
      </c>
      <c r="H39" s="321">
        <v>15501.38</v>
      </c>
      <c r="I39" s="324">
        <f t="shared" si="2"/>
        <v>98.609287531806615</v>
      </c>
    </row>
    <row r="40" spans="1:9" ht="15.75" customHeight="1" x14ac:dyDescent="0.2">
      <c r="A40" s="369" t="s">
        <v>292</v>
      </c>
      <c r="B40" s="319">
        <v>190145</v>
      </c>
      <c r="C40" s="320">
        <v>198710</v>
      </c>
      <c r="D40" s="321">
        <v>198710</v>
      </c>
      <c r="E40" s="322">
        <f t="shared" si="0"/>
        <v>100</v>
      </c>
      <c r="F40" s="319">
        <v>151389</v>
      </c>
      <c r="G40" s="323">
        <v>188559</v>
      </c>
      <c r="H40" s="321">
        <v>188559</v>
      </c>
      <c r="I40" s="324">
        <f t="shared" si="2"/>
        <v>100</v>
      </c>
    </row>
    <row r="41" spans="1:9" ht="15.75" customHeight="1" thickBot="1" x14ac:dyDescent="0.25">
      <c r="A41" s="370" t="s">
        <v>293</v>
      </c>
      <c r="B41" s="334">
        <v>8000</v>
      </c>
      <c r="C41" s="371">
        <v>8000</v>
      </c>
      <c r="D41" s="336">
        <v>8000</v>
      </c>
      <c r="E41" s="337">
        <f t="shared" si="0"/>
        <v>100</v>
      </c>
      <c r="F41" s="334">
        <v>6400</v>
      </c>
      <c r="G41" s="335">
        <v>6400</v>
      </c>
      <c r="H41" s="336">
        <v>6400</v>
      </c>
      <c r="I41" s="338">
        <f t="shared" si="2"/>
        <v>100</v>
      </c>
    </row>
    <row r="42" spans="1:9" s="378" customFormat="1" ht="15.75" customHeight="1" thickBot="1" x14ac:dyDescent="0.25">
      <c r="A42" s="358" t="s">
        <v>294</v>
      </c>
      <c r="B42" s="372">
        <v>17467</v>
      </c>
      <c r="C42" s="373">
        <v>17467</v>
      </c>
      <c r="D42" s="374">
        <v>26308.3</v>
      </c>
      <c r="E42" s="375">
        <f t="shared" si="0"/>
        <v>150.61716379458409</v>
      </c>
      <c r="F42" s="372">
        <v>7959</v>
      </c>
      <c r="G42" s="376">
        <v>7959</v>
      </c>
      <c r="H42" s="374">
        <v>14931.03</v>
      </c>
      <c r="I42" s="377">
        <f t="shared" si="2"/>
        <v>187.59932152280439</v>
      </c>
    </row>
    <row r="43" spans="1:9" s="378" customFormat="1" ht="15.75" customHeight="1" thickBot="1" x14ac:dyDescent="0.25">
      <c r="A43" s="358" t="s">
        <v>295</v>
      </c>
      <c r="B43" s="372">
        <v>99840</v>
      </c>
      <c r="C43" s="373">
        <v>99840</v>
      </c>
      <c r="D43" s="374">
        <v>42693.599999999999</v>
      </c>
      <c r="E43" s="375">
        <f t="shared" si="0"/>
        <v>42.762019230769226</v>
      </c>
      <c r="F43" s="372">
        <v>55680</v>
      </c>
      <c r="G43" s="376">
        <v>55680</v>
      </c>
      <c r="H43" s="374">
        <v>26894.400000000001</v>
      </c>
      <c r="I43" s="377">
        <f t="shared" si="2"/>
        <v>48.301724137931032</v>
      </c>
    </row>
    <row r="44" spans="1:9" ht="15.75" customHeight="1" thickBot="1" x14ac:dyDescent="0.25">
      <c r="A44" s="358" t="s">
        <v>296</v>
      </c>
      <c r="B44" s="379">
        <v>0</v>
      </c>
      <c r="C44" s="380">
        <v>0</v>
      </c>
      <c r="D44" s="381">
        <v>0</v>
      </c>
      <c r="E44" s="382"/>
      <c r="F44" s="379">
        <v>0</v>
      </c>
      <c r="G44" s="383">
        <v>0</v>
      </c>
      <c r="H44" s="381">
        <v>0</v>
      </c>
      <c r="I44" s="384"/>
    </row>
    <row r="45" spans="1:9" ht="15.75" customHeight="1" thickBot="1" x14ac:dyDescent="0.25">
      <c r="A45" s="385" t="s">
        <v>297</v>
      </c>
      <c r="B45" s="386">
        <f>SUM(B46:B47)</f>
        <v>0</v>
      </c>
      <c r="C45" s="387">
        <f>SUM(C46:C47)</f>
        <v>1500</v>
      </c>
      <c r="D45" s="388">
        <f>SUM(D46:D47)</f>
        <v>1500</v>
      </c>
      <c r="E45" s="317">
        <f t="shared" ref="E45:E46" si="3">D45/C45*100</f>
        <v>100</v>
      </c>
      <c r="F45" s="309">
        <f t="shared" ref="F45:H45" si="4">SUM(F46:F47)</f>
        <v>0</v>
      </c>
      <c r="G45" s="306">
        <f t="shared" si="4"/>
        <v>0</v>
      </c>
      <c r="H45" s="307">
        <f t="shared" si="4"/>
        <v>6620</v>
      </c>
      <c r="I45" s="310"/>
    </row>
    <row r="46" spans="1:9" ht="15.75" customHeight="1" thickBot="1" x14ac:dyDescent="0.25">
      <c r="A46" s="389" t="s">
        <v>298</v>
      </c>
      <c r="B46" s="312">
        <v>0</v>
      </c>
      <c r="C46" s="390">
        <v>1500</v>
      </c>
      <c r="D46" s="391">
        <v>1500</v>
      </c>
      <c r="E46" s="317">
        <f t="shared" si="3"/>
        <v>100</v>
      </c>
      <c r="F46" s="392">
        <v>0</v>
      </c>
      <c r="G46" s="393">
        <v>0</v>
      </c>
      <c r="H46" s="394">
        <f>620+6000</f>
        <v>6620</v>
      </c>
      <c r="I46" s="395"/>
    </row>
    <row r="47" spans="1:9" ht="15.75" customHeight="1" thickBot="1" x14ac:dyDescent="0.25">
      <c r="A47" s="396" t="s">
        <v>299</v>
      </c>
      <c r="B47" s="326">
        <v>0</v>
      </c>
      <c r="C47" s="397">
        <v>0</v>
      </c>
      <c r="D47" s="398">
        <v>0</v>
      </c>
      <c r="E47" s="399"/>
      <c r="F47" s="371">
        <v>0</v>
      </c>
      <c r="G47" s="400">
        <v>0</v>
      </c>
      <c r="H47" s="401">
        <v>0</v>
      </c>
      <c r="I47" s="402"/>
    </row>
    <row r="48" spans="1:9" ht="18.75" customHeight="1" thickBot="1" x14ac:dyDescent="0.25">
      <c r="A48" s="304" t="s">
        <v>300</v>
      </c>
      <c r="B48" s="403">
        <f t="shared" ref="B48:C48" si="5">B19+B36+B45+B42+B43</f>
        <v>1474199</v>
      </c>
      <c r="C48" s="404">
        <f t="shared" si="5"/>
        <v>1704438</v>
      </c>
      <c r="D48" s="405">
        <f>D19+D36+D45+D42+D43+D44</f>
        <v>1651196.7100000002</v>
      </c>
      <c r="E48" s="406">
        <f>D48/C48*100</f>
        <v>96.876314069505625</v>
      </c>
      <c r="F48" s="407">
        <f t="shared" ref="F48:G48" si="6">F19+F36+F45+F42+F43</f>
        <v>1173981</v>
      </c>
      <c r="G48" s="408">
        <f t="shared" si="6"/>
        <v>1335728</v>
      </c>
      <c r="H48" s="409">
        <f>H19+H36+H45+H42+H43+H44</f>
        <v>1334037.29</v>
      </c>
      <c r="I48" s="310">
        <f>H48/G48*100</f>
        <v>99.873424080351697</v>
      </c>
    </row>
    <row r="49" spans="1:9" ht="15.75" customHeight="1" x14ac:dyDescent="0.2">
      <c r="A49" s="410" t="s">
        <v>301</v>
      </c>
      <c r="B49" s="346">
        <v>0</v>
      </c>
      <c r="C49" s="411">
        <v>0</v>
      </c>
      <c r="D49" s="412">
        <v>0</v>
      </c>
      <c r="E49" s="349"/>
      <c r="F49" s="346">
        <v>0</v>
      </c>
      <c r="G49" s="411">
        <v>0</v>
      </c>
      <c r="H49" s="412">
        <v>0</v>
      </c>
      <c r="I49" s="395"/>
    </row>
    <row r="50" spans="1:9" ht="15.75" customHeight="1" thickBot="1" x14ac:dyDescent="0.25">
      <c r="A50" s="413" t="s">
        <v>302</v>
      </c>
      <c r="B50" s="334">
        <v>0</v>
      </c>
      <c r="C50" s="400">
        <v>0</v>
      </c>
      <c r="D50" s="401">
        <v>0</v>
      </c>
      <c r="E50" s="414"/>
      <c r="F50" s="334">
        <v>0</v>
      </c>
      <c r="G50" s="400">
        <v>0</v>
      </c>
      <c r="H50" s="401">
        <v>0</v>
      </c>
      <c r="I50" s="402"/>
    </row>
    <row r="51" spans="1:9" ht="21.6" customHeight="1" thickBot="1" x14ac:dyDescent="0.25">
      <c r="A51" s="415" t="s">
        <v>303</v>
      </c>
      <c r="B51" s="407">
        <f>SUM(B48:B50)</f>
        <v>1474199</v>
      </c>
      <c r="C51" s="408">
        <f t="shared" ref="C51:D51" si="7">SUM(C48:C50)</f>
        <v>1704438</v>
      </c>
      <c r="D51" s="409">
        <f t="shared" si="7"/>
        <v>1651196.7100000002</v>
      </c>
      <c r="E51" s="308">
        <f>D51/C51*100</f>
        <v>96.876314069505625</v>
      </c>
      <c r="F51" s="407">
        <f>SUM(F48:F50)</f>
        <v>1173981</v>
      </c>
      <c r="G51" s="408">
        <f t="shared" ref="G51:H51" si="8">SUM(G48:G50)</f>
        <v>1335728</v>
      </c>
      <c r="H51" s="409">
        <f t="shared" si="8"/>
        <v>1334037.29</v>
      </c>
      <c r="I51" s="310">
        <f>H51/G51*100</f>
        <v>99.873424080351697</v>
      </c>
    </row>
    <row r="52" spans="1:9" ht="15.75" customHeight="1" x14ac:dyDescent="0.2">
      <c r="A52" s="416"/>
      <c r="B52" s="417"/>
      <c r="C52" s="417"/>
      <c r="D52" s="417"/>
      <c r="E52" s="418"/>
      <c r="F52" s="417"/>
      <c r="G52" s="417"/>
      <c r="H52" s="417"/>
      <c r="I52" s="418"/>
    </row>
    <row r="53" spans="1:9" ht="15.75" customHeight="1" x14ac:dyDescent="0.2">
      <c r="A53" s="416"/>
      <c r="B53" s="417"/>
      <c r="C53" s="417"/>
      <c r="D53" s="417"/>
      <c r="E53" s="418"/>
      <c r="F53" s="417"/>
      <c r="G53" s="417"/>
      <c r="H53" s="417"/>
      <c r="I53" s="418"/>
    </row>
    <row r="54" spans="1:9" ht="14.25" customHeight="1" x14ac:dyDescent="0.2">
      <c r="A54" s="416"/>
      <c r="B54" s="417"/>
      <c r="C54" s="417"/>
      <c r="D54" s="417"/>
      <c r="E54" s="418"/>
      <c r="F54" s="417"/>
      <c r="G54" s="417"/>
      <c r="H54" s="417"/>
      <c r="I54" s="418"/>
    </row>
    <row r="55" spans="1:9" ht="14.25" hidden="1" customHeight="1" x14ac:dyDescent="0.2">
      <c r="A55" s="416"/>
      <c r="B55" s="417"/>
      <c r="C55" s="417"/>
      <c r="D55" s="417"/>
      <c r="E55" s="418"/>
      <c r="F55" s="417"/>
      <c r="G55" s="417"/>
      <c r="H55" s="417"/>
      <c r="I55" s="418"/>
    </row>
    <row r="56" spans="1:9" ht="14.25" hidden="1" customHeight="1" x14ac:dyDescent="0.2">
      <c r="A56" s="416"/>
      <c r="B56" s="417"/>
      <c r="C56" s="417"/>
      <c r="D56" s="417"/>
      <c r="E56" s="418"/>
      <c r="F56" s="417"/>
      <c r="G56" s="417"/>
      <c r="H56" s="417"/>
      <c r="I56" s="418"/>
    </row>
    <row r="57" spans="1:9" ht="14.25" hidden="1" customHeight="1" x14ac:dyDescent="0.2">
      <c r="A57" s="416"/>
      <c r="B57" s="417"/>
      <c r="C57" s="417"/>
      <c r="D57" s="417"/>
      <c r="E57" s="418"/>
      <c r="F57" s="417"/>
      <c r="G57" s="417"/>
      <c r="H57" s="417"/>
      <c r="I57" s="418"/>
    </row>
    <row r="58" spans="1:9" ht="14.25" hidden="1" customHeight="1" x14ac:dyDescent="0.2">
      <c r="A58" s="416"/>
      <c r="B58" s="417"/>
      <c r="C58" s="417"/>
      <c r="D58" s="417"/>
      <c r="E58" s="418"/>
      <c r="F58" s="417"/>
      <c r="G58" s="417"/>
      <c r="H58" s="417"/>
      <c r="I58" s="418"/>
    </row>
    <row r="59" spans="1:9" ht="14.25" hidden="1" customHeight="1" x14ac:dyDescent="0.2">
      <c r="A59" s="416"/>
      <c r="B59" s="417"/>
      <c r="C59" s="417"/>
      <c r="D59" s="417"/>
      <c r="E59" s="418"/>
      <c r="F59" s="417"/>
      <c r="G59" s="417"/>
      <c r="H59" s="417"/>
      <c r="I59" s="418"/>
    </row>
    <row r="60" spans="1:9" ht="14.25" hidden="1" customHeight="1" x14ac:dyDescent="0.2">
      <c r="A60" s="416"/>
      <c r="B60" s="417"/>
      <c r="C60" s="417"/>
      <c r="D60" s="417"/>
      <c r="E60" s="418"/>
      <c r="F60" s="417"/>
      <c r="G60" s="417"/>
      <c r="H60" s="417"/>
      <c r="I60" s="418"/>
    </row>
    <row r="61" spans="1:9" ht="14.25" customHeight="1" x14ac:dyDescent="0.2">
      <c r="A61" s="416"/>
      <c r="B61" s="417"/>
      <c r="C61" s="417"/>
      <c r="D61" s="417"/>
      <c r="E61" s="418"/>
      <c r="F61" s="417"/>
      <c r="G61" s="417"/>
      <c r="H61" s="417"/>
      <c r="I61" s="418"/>
    </row>
    <row r="62" spans="1:9" ht="14.25" customHeight="1" x14ac:dyDescent="0.2">
      <c r="A62" s="416"/>
      <c r="B62" s="417"/>
      <c r="C62" s="417"/>
      <c r="D62" s="417"/>
      <c r="E62" s="418"/>
      <c r="F62" s="417"/>
      <c r="G62" s="417"/>
      <c r="H62" s="417"/>
      <c r="I62" s="418"/>
    </row>
    <row r="63" spans="1:9" ht="16.899999999999999" customHeight="1" x14ac:dyDescent="0.2">
      <c r="A63" s="416"/>
      <c r="B63" s="417"/>
      <c r="C63" s="417"/>
      <c r="D63" s="417"/>
      <c r="E63" s="418"/>
      <c r="F63" s="417"/>
      <c r="G63" s="417"/>
      <c r="H63" s="417"/>
      <c r="I63" s="418"/>
    </row>
    <row r="64" spans="1:9" ht="13.5" customHeight="1" x14ac:dyDescent="0.2">
      <c r="A64" s="416"/>
      <c r="B64" s="419"/>
      <c r="C64" s="417"/>
      <c r="D64" s="417"/>
      <c r="E64" s="418"/>
      <c r="F64" s="418"/>
      <c r="G64" s="417"/>
      <c r="H64" s="417"/>
      <c r="I64" s="418"/>
    </row>
    <row r="65" spans="1:9" ht="15.75" customHeight="1" x14ac:dyDescent="0.2">
      <c r="A65" s="416"/>
      <c r="B65" s="419"/>
      <c r="C65" s="417"/>
      <c r="D65" s="417"/>
      <c r="E65" s="418"/>
      <c r="F65" s="418"/>
      <c r="G65" s="417"/>
      <c r="H65" s="646" t="s">
        <v>304</v>
      </c>
      <c r="I65" s="646"/>
    </row>
    <row r="66" spans="1:9" ht="15.75" customHeight="1" thickBot="1" x14ac:dyDescent="0.25">
      <c r="A66" s="416"/>
      <c r="B66" s="419"/>
      <c r="C66" s="417"/>
      <c r="D66" s="417"/>
      <c r="E66" s="418"/>
      <c r="F66" s="418"/>
      <c r="G66" s="417"/>
      <c r="H66" s="298"/>
      <c r="I66" s="299" t="s">
        <v>260</v>
      </c>
    </row>
    <row r="67" spans="1:9" ht="24.6" customHeight="1" thickBot="1" x14ac:dyDescent="0.25">
      <c r="A67" s="629" t="s">
        <v>261</v>
      </c>
      <c r="B67" s="631" t="s">
        <v>305</v>
      </c>
      <c r="C67" s="632"/>
      <c r="D67" s="632"/>
      <c r="E67" s="637"/>
      <c r="F67" s="643" t="s">
        <v>306</v>
      </c>
      <c r="G67" s="644"/>
      <c r="H67" s="644"/>
      <c r="I67" s="645"/>
    </row>
    <row r="68" spans="1:9" ht="40.5" customHeight="1" thickBot="1" x14ac:dyDescent="0.25">
      <c r="A68" s="630"/>
      <c r="B68" s="300" t="s">
        <v>53</v>
      </c>
      <c r="C68" s="300" t="s">
        <v>264</v>
      </c>
      <c r="D68" s="301" t="s">
        <v>240</v>
      </c>
      <c r="E68" s="302" t="s">
        <v>238</v>
      </c>
      <c r="F68" s="300" t="s">
        <v>53</v>
      </c>
      <c r="G68" s="300" t="s">
        <v>264</v>
      </c>
      <c r="H68" s="301" t="s">
        <v>240</v>
      </c>
      <c r="I68" s="303" t="s">
        <v>238</v>
      </c>
    </row>
    <row r="69" spans="1:9" ht="23.25" customHeight="1" thickBot="1" x14ac:dyDescent="0.25">
      <c r="A69" s="420" t="s">
        <v>265</v>
      </c>
      <c r="B69" s="309">
        <f>SUM(B70:B74)</f>
        <v>105340</v>
      </c>
      <c r="C69" s="306">
        <f>SUM(C70:C74)</f>
        <v>89820</v>
      </c>
      <c r="D69" s="307">
        <f>SUM(D70:D74)</f>
        <v>94479.63</v>
      </c>
      <c r="E69" s="310">
        <f>D69/C69*100</f>
        <v>105.1877421509686</v>
      </c>
      <c r="F69" s="309">
        <f>SUM(F70:F74)</f>
        <v>107461</v>
      </c>
      <c r="G69" s="306">
        <f>SUM(G70:G74)</f>
        <v>86753</v>
      </c>
      <c r="H69" s="307">
        <f>SUM(H70:H74)</f>
        <v>72055.799999999988</v>
      </c>
      <c r="I69" s="310">
        <f t="shared" ref="I69:I107" si="9">H69/G69*100</f>
        <v>83.058568579760916</v>
      </c>
    </row>
    <row r="70" spans="1:9" ht="15.75" customHeight="1" x14ac:dyDescent="0.2">
      <c r="A70" s="421" t="s">
        <v>266</v>
      </c>
      <c r="B70" s="346">
        <v>40000</v>
      </c>
      <c r="C70" s="350">
        <v>32000</v>
      </c>
      <c r="D70" s="348">
        <v>31886</v>
      </c>
      <c r="E70" s="351">
        <f>D70/C70*100</f>
        <v>99.643749999999997</v>
      </c>
      <c r="F70" s="346">
        <v>41900</v>
      </c>
      <c r="G70" s="350">
        <v>33100</v>
      </c>
      <c r="H70" s="348">
        <v>30247</v>
      </c>
      <c r="I70" s="351">
        <f t="shared" si="9"/>
        <v>91.380664652567972</v>
      </c>
    </row>
    <row r="71" spans="1:9" ht="15.75" customHeight="1" x14ac:dyDescent="0.2">
      <c r="A71" s="421" t="s">
        <v>267</v>
      </c>
      <c r="B71" s="319">
        <v>32000</v>
      </c>
      <c r="C71" s="323">
        <v>21000</v>
      </c>
      <c r="D71" s="321">
        <v>22924.1</v>
      </c>
      <c r="E71" s="324">
        <f>D71/C71*100</f>
        <v>109.16238095238096</v>
      </c>
      <c r="F71" s="319">
        <v>35328</v>
      </c>
      <c r="G71" s="323">
        <v>23828</v>
      </c>
      <c r="H71" s="321">
        <v>17532.18</v>
      </c>
      <c r="I71" s="324">
        <f t="shared" si="9"/>
        <v>73.578059425885513</v>
      </c>
    </row>
    <row r="72" spans="1:9" ht="15.75" customHeight="1" x14ac:dyDescent="0.2">
      <c r="A72" s="422" t="s">
        <v>268</v>
      </c>
      <c r="B72" s="319">
        <v>14940</v>
      </c>
      <c r="C72" s="323">
        <v>14940</v>
      </c>
      <c r="D72" s="321">
        <v>15391.4</v>
      </c>
      <c r="E72" s="423">
        <f>D72/C72*100</f>
        <v>103.0214190093708</v>
      </c>
      <c r="F72" s="319">
        <v>6539</v>
      </c>
      <c r="G72" s="323">
        <v>5539</v>
      </c>
      <c r="H72" s="321">
        <v>4864.8100000000004</v>
      </c>
      <c r="I72" s="423">
        <f t="shared" si="9"/>
        <v>87.828308358909553</v>
      </c>
    </row>
    <row r="73" spans="1:9" ht="15.75" customHeight="1" x14ac:dyDescent="0.2">
      <c r="A73" s="421" t="s">
        <v>269</v>
      </c>
      <c r="B73" s="319">
        <v>18400</v>
      </c>
      <c r="C73" s="323">
        <v>18400</v>
      </c>
      <c r="D73" s="321">
        <v>19047.88</v>
      </c>
      <c r="E73" s="423">
        <f t="shared" ref="E73:E107" si="10">D73/C73*100</f>
        <v>103.52108695652174</v>
      </c>
      <c r="F73" s="319">
        <v>23692</v>
      </c>
      <c r="G73" s="323">
        <v>23692</v>
      </c>
      <c r="H73" s="321">
        <v>18823.41</v>
      </c>
      <c r="I73" s="423">
        <f t="shared" si="9"/>
        <v>79.450489616748271</v>
      </c>
    </row>
    <row r="74" spans="1:9" ht="15.75" customHeight="1" thickBot="1" x14ac:dyDescent="0.25">
      <c r="A74" s="424" t="s">
        <v>270</v>
      </c>
      <c r="B74" s="334">
        <v>0</v>
      </c>
      <c r="C74" s="335">
        <v>3480</v>
      </c>
      <c r="D74" s="336">
        <f>500+700+570+3452.35+7.85+0.05</f>
        <v>5230.2500000000009</v>
      </c>
      <c r="E74" s="425">
        <f t="shared" si="10"/>
        <v>150.29454022988509</v>
      </c>
      <c r="F74" s="334">
        <v>2</v>
      </c>
      <c r="G74" s="335">
        <v>594</v>
      </c>
      <c r="H74" s="336">
        <f>581.85+6.55</f>
        <v>588.4</v>
      </c>
      <c r="I74" s="425">
        <f t="shared" si="9"/>
        <v>99.057239057239059</v>
      </c>
    </row>
    <row r="75" spans="1:9" ht="28.5" customHeight="1" thickBot="1" x14ac:dyDescent="0.25">
      <c r="A75" s="426" t="s">
        <v>271</v>
      </c>
      <c r="B75" s="309">
        <f>B79+B90+B91</f>
        <v>943712</v>
      </c>
      <c r="C75" s="306">
        <f>C79+C90+C91</f>
        <v>1108143</v>
      </c>
      <c r="D75" s="307">
        <f>D79+D90+D91</f>
        <v>1110123.32</v>
      </c>
      <c r="E75" s="310">
        <f t="shared" si="10"/>
        <v>100.1787061778128</v>
      </c>
      <c r="F75" s="309">
        <f>F79+F90+F91</f>
        <v>826080</v>
      </c>
      <c r="G75" s="306">
        <f>G79+G90+G91</f>
        <v>942952</v>
      </c>
      <c r="H75" s="307">
        <f>H79+H90+H91</f>
        <v>936365.15</v>
      </c>
      <c r="I75" s="310">
        <f t="shared" si="9"/>
        <v>99.301464973826882</v>
      </c>
    </row>
    <row r="76" spans="1:9" ht="15.75" customHeight="1" x14ac:dyDescent="0.2">
      <c r="A76" s="421" t="s">
        <v>272</v>
      </c>
      <c r="B76" s="346">
        <v>835138</v>
      </c>
      <c r="C76" s="350">
        <v>915669</v>
      </c>
      <c r="D76" s="348">
        <v>915669</v>
      </c>
      <c r="E76" s="351">
        <f t="shared" si="10"/>
        <v>100</v>
      </c>
      <c r="F76" s="346">
        <v>721263</v>
      </c>
      <c r="G76" s="350">
        <v>771912</v>
      </c>
      <c r="H76" s="348">
        <v>771912</v>
      </c>
      <c r="I76" s="351">
        <f t="shared" si="9"/>
        <v>100</v>
      </c>
    </row>
    <row r="77" spans="1:9" ht="15.75" customHeight="1" x14ac:dyDescent="0.2">
      <c r="A77" s="427" t="s">
        <v>273</v>
      </c>
      <c r="B77" s="319">
        <v>108574</v>
      </c>
      <c r="C77" s="323">
        <v>144099</v>
      </c>
      <c r="D77" s="321">
        <v>118395.2</v>
      </c>
      <c r="E77" s="324">
        <f t="shared" si="10"/>
        <v>82.162402237350705</v>
      </c>
      <c r="F77" s="319">
        <v>104817</v>
      </c>
      <c r="G77" s="323">
        <v>121542</v>
      </c>
      <c r="H77" s="321">
        <v>104948.32</v>
      </c>
      <c r="I77" s="324">
        <f t="shared" si="9"/>
        <v>86.347369633542328</v>
      </c>
    </row>
    <row r="78" spans="1:9" ht="15.75" customHeight="1" thickBot="1" x14ac:dyDescent="0.25">
      <c r="A78" s="428" t="s">
        <v>307</v>
      </c>
      <c r="B78" s="334">
        <v>0</v>
      </c>
      <c r="C78" s="335">
        <v>0</v>
      </c>
      <c r="D78" s="336">
        <f>27812.92-698.8</f>
        <v>27114.12</v>
      </c>
      <c r="E78" s="338"/>
      <c r="F78" s="334">
        <v>0</v>
      </c>
      <c r="G78" s="335">
        <v>0</v>
      </c>
      <c r="H78" s="336">
        <f>11117.63-310.8</f>
        <v>10806.83</v>
      </c>
      <c r="I78" s="338"/>
    </row>
    <row r="79" spans="1:9" ht="27" customHeight="1" thickBot="1" x14ac:dyDescent="0.25">
      <c r="A79" s="429" t="s">
        <v>308</v>
      </c>
      <c r="B79" s="309">
        <f t="shared" ref="B79:D79" si="11">SUM(B76:B78)</f>
        <v>943712</v>
      </c>
      <c r="C79" s="306">
        <f t="shared" si="11"/>
        <v>1059768</v>
      </c>
      <c r="D79" s="307">
        <f t="shared" si="11"/>
        <v>1061178.32</v>
      </c>
      <c r="E79" s="310">
        <f t="shared" si="10"/>
        <v>100.13307818314952</v>
      </c>
      <c r="F79" s="309">
        <f t="shared" ref="F79:H79" si="12">SUM(F76:F78)</f>
        <v>826080</v>
      </c>
      <c r="G79" s="306">
        <f t="shared" si="12"/>
        <v>893454</v>
      </c>
      <c r="H79" s="307">
        <f t="shared" si="12"/>
        <v>887667.15</v>
      </c>
      <c r="I79" s="310">
        <f t="shared" si="9"/>
        <v>99.352305770638452</v>
      </c>
    </row>
    <row r="80" spans="1:9" ht="15.75" customHeight="1" x14ac:dyDescent="0.2">
      <c r="A80" s="430" t="s">
        <v>276</v>
      </c>
      <c r="B80" s="346">
        <v>0</v>
      </c>
      <c r="C80" s="350">
        <v>15251</v>
      </c>
      <c r="D80" s="348">
        <v>15251</v>
      </c>
      <c r="E80" s="351">
        <f t="shared" si="10"/>
        <v>100</v>
      </c>
      <c r="F80" s="346">
        <v>0</v>
      </c>
      <c r="G80" s="350">
        <v>13651</v>
      </c>
      <c r="H80" s="348">
        <v>13651</v>
      </c>
      <c r="I80" s="351">
        <f t="shared" si="9"/>
        <v>100</v>
      </c>
    </row>
    <row r="81" spans="1:9" ht="15.75" customHeight="1" x14ac:dyDescent="0.2">
      <c r="A81" s="422" t="s">
        <v>309</v>
      </c>
      <c r="B81" s="319">
        <v>0</v>
      </c>
      <c r="C81" s="323">
        <v>0</v>
      </c>
      <c r="D81" s="321">
        <v>0</v>
      </c>
      <c r="E81" s="324"/>
      <c r="F81" s="319">
        <v>0</v>
      </c>
      <c r="G81" s="323">
        <v>9602</v>
      </c>
      <c r="H81" s="321">
        <v>9602</v>
      </c>
      <c r="I81" s="351">
        <f t="shared" si="9"/>
        <v>100</v>
      </c>
    </row>
    <row r="82" spans="1:9" ht="15.75" customHeight="1" x14ac:dyDescent="0.2">
      <c r="A82" s="422" t="s">
        <v>278</v>
      </c>
      <c r="B82" s="319">
        <v>0</v>
      </c>
      <c r="C82" s="323">
        <v>11094</v>
      </c>
      <c r="D82" s="321">
        <v>11094</v>
      </c>
      <c r="E82" s="324">
        <f t="shared" si="10"/>
        <v>100</v>
      </c>
      <c r="F82" s="319">
        <v>0</v>
      </c>
      <c r="G82" s="323">
        <v>4755</v>
      </c>
      <c r="H82" s="321">
        <v>4755</v>
      </c>
      <c r="I82" s="324">
        <f t="shared" si="9"/>
        <v>100</v>
      </c>
    </row>
    <row r="83" spans="1:9" ht="15.75" customHeight="1" x14ac:dyDescent="0.2">
      <c r="A83" s="422" t="s">
        <v>279</v>
      </c>
      <c r="B83" s="319">
        <v>0</v>
      </c>
      <c r="C83" s="323">
        <v>0</v>
      </c>
      <c r="D83" s="321">
        <v>0</v>
      </c>
      <c r="E83" s="324"/>
      <c r="F83" s="319">
        <v>0</v>
      </c>
      <c r="G83" s="323">
        <v>0</v>
      </c>
      <c r="H83" s="321">
        <v>0</v>
      </c>
      <c r="I83" s="324"/>
    </row>
    <row r="84" spans="1:9" ht="15.75" customHeight="1" x14ac:dyDescent="0.2">
      <c r="A84" s="431" t="s">
        <v>280</v>
      </c>
      <c r="B84" s="319">
        <v>0</v>
      </c>
      <c r="C84" s="323">
        <v>0</v>
      </c>
      <c r="D84" s="321">
        <v>0</v>
      </c>
      <c r="E84" s="324"/>
      <c r="F84" s="319">
        <v>0</v>
      </c>
      <c r="G84" s="323">
        <v>0</v>
      </c>
      <c r="H84" s="321">
        <v>0</v>
      </c>
      <c r="I84" s="324"/>
    </row>
    <row r="85" spans="1:9" ht="15.75" customHeight="1" x14ac:dyDescent="0.2">
      <c r="A85" s="431" t="s">
        <v>281</v>
      </c>
      <c r="B85" s="319">
        <v>0</v>
      </c>
      <c r="C85" s="323">
        <v>15880</v>
      </c>
      <c r="D85" s="321">
        <v>15880</v>
      </c>
      <c r="E85" s="324">
        <f t="shared" si="10"/>
        <v>100</v>
      </c>
      <c r="F85" s="319">
        <v>0</v>
      </c>
      <c r="G85" s="323">
        <v>14540</v>
      </c>
      <c r="H85" s="321">
        <v>14540</v>
      </c>
      <c r="I85" s="324">
        <f t="shared" si="9"/>
        <v>100</v>
      </c>
    </row>
    <row r="86" spans="1:9" ht="15.75" customHeight="1" x14ac:dyDescent="0.2">
      <c r="A86" s="431" t="s">
        <v>282</v>
      </c>
      <c r="B86" s="319">
        <v>0</v>
      </c>
      <c r="C86" s="323">
        <v>6150</v>
      </c>
      <c r="D86" s="321">
        <v>6150</v>
      </c>
      <c r="E86" s="324">
        <f t="shared" si="10"/>
        <v>100</v>
      </c>
      <c r="F86" s="319">
        <v>0</v>
      </c>
      <c r="G86" s="323">
        <v>6150</v>
      </c>
      <c r="H86" s="321">
        <v>6150</v>
      </c>
      <c r="I86" s="324">
        <f t="shared" si="9"/>
        <v>100</v>
      </c>
    </row>
    <row r="87" spans="1:9" ht="15.75" customHeight="1" x14ac:dyDescent="0.2">
      <c r="A87" s="431" t="s">
        <v>283</v>
      </c>
      <c r="B87" s="319">
        <v>0</v>
      </c>
      <c r="C87" s="323">
        <v>0</v>
      </c>
      <c r="D87" s="321">
        <v>0</v>
      </c>
      <c r="E87" s="324"/>
      <c r="F87" s="319">
        <v>0</v>
      </c>
      <c r="G87" s="323">
        <v>0</v>
      </c>
      <c r="H87" s="321">
        <v>0</v>
      </c>
      <c r="I87" s="324"/>
    </row>
    <row r="88" spans="1:9" ht="15.75" customHeight="1" x14ac:dyDescent="0.2">
      <c r="A88" s="431" t="s">
        <v>284</v>
      </c>
      <c r="B88" s="319">
        <v>0</v>
      </c>
      <c r="C88" s="323">
        <v>0</v>
      </c>
      <c r="D88" s="321">
        <v>0</v>
      </c>
      <c r="E88" s="324"/>
      <c r="F88" s="319">
        <v>0</v>
      </c>
      <c r="G88" s="323">
        <v>800</v>
      </c>
      <c r="H88" s="321">
        <v>0</v>
      </c>
      <c r="I88" s="324"/>
    </row>
    <row r="89" spans="1:9" ht="15.75" customHeight="1" thickBot="1" x14ac:dyDescent="0.25">
      <c r="A89" s="432" t="s">
        <v>285</v>
      </c>
      <c r="B89" s="334">
        <v>0</v>
      </c>
      <c r="C89" s="357">
        <v>0</v>
      </c>
      <c r="D89" s="356">
        <v>0</v>
      </c>
      <c r="E89" s="338"/>
      <c r="F89" s="334">
        <v>0</v>
      </c>
      <c r="G89" s="335">
        <v>0</v>
      </c>
      <c r="H89" s="336">
        <v>0</v>
      </c>
      <c r="I89" s="338"/>
    </row>
    <row r="90" spans="1:9" s="434" customFormat="1" ht="20.45" customHeight="1" thickBot="1" x14ac:dyDescent="0.25">
      <c r="A90" s="420" t="s">
        <v>310</v>
      </c>
      <c r="B90" s="359">
        <f>SUM(B80:B89)</f>
        <v>0</v>
      </c>
      <c r="C90" s="360">
        <f>SUM(C80:C89)</f>
        <v>48375</v>
      </c>
      <c r="D90" s="361">
        <f>SUM(D80:D89)</f>
        <v>48375</v>
      </c>
      <c r="E90" s="433">
        <f t="shared" si="10"/>
        <v>100</v>
      </c>
      <c r="F90" s="359">
        <f>SUM(F80:F89)</f>
        <v>0</v>
      </c>
      <c r="G90" s="360">
        <f>SUM(G80:G89)</f>
        <v>49498</v>
      </c>
      <c r="H90" s="361">
        <f>SUM(H80:H89)</f>
        <v>48698</v>
      </c>
      <c r="I90" s="433">
        <f t="shared" si="9"/>
        <v>98.383773081740671</v>
      </c>
    </row>
    <row r="91" spans="1:9" s="434" customFormat="1" ht="18" customHeight="1" thickBot="1" x14ac:dyDescent="0.25">
      <c r="A91" s="420" t="s">
        <v>311</v>
      </c>
      <c r="B91" s="359">
        <v>0</v>
      </c>
      <c r="C91" s="366">
        <v>0</v>
      </c>
      <c r="D91" s="365">
        <v>570</v>
      </c>
      <c r="E91" s="433"/>
      <c r="F91" s="359">
        <v>0</v>
      </c>
      <c r="G91" s="366">
        <v>0</v>
      </c>
      <c r="H91" s="365">
        <v>0</v>
      </c>
      <c r="I91" s="433"/>
    </row>
    <row r="92" spans="1:9" ht="24.75" customHeight="1" thickBot="1" x14ac:dyDescent="0.25">
      <c r="A92" s="426" t="s">
        <v>288</v>
      </c>
      <c r="B92" s="309">
        <f>SUM(B93:B97)</f>
        <v>333211</v>
      </c>
      <c r="C92" s="306">
        <f>SUM(C93:C97)</f>
        <v>369534</v>
      </c>
      <c r="D92" s="307">
        <f>SUM(D93:D97)</f>
        <v>349477.5</v>
      </c>
      <c r="E92" s="384">
        <f t="shared" si="10"/>
        <v>94.572488593742392</v>
      </c>
      <c r="F92" s="309">
        <f>SUM(F93:F97)</f>
        <v>283337</v>
      </c>
      <c r="G92" s="306">
        <f>SUM(G93:G97)</f>
        <v>309251</v>
      </c>
      <c r="H92" s="307">
        <f>SUM(H93:H97)</f>
        <v>304362.68</v>
      </c>
      <c r="I92" s="384">
        <f t="shared" si="9"/>
        <v>98.419303413731882</v>
      </c>
    </row>
    <row r="93" spans="1:9" ht="15.75" customHeight="1" x14ac:dyDescent="0.2">
      <c r="A93" s="435" t="s">
        <v>289</v>
      </c>
      <c r="B93" s="346">
        <v>0</v>
      </c>
      <c r="C93" s="350">
        <v>21625</v>
      </c>
      <c r="D93" s="348">
        <v>1625</v>
      </c>
      <c r="E93" s="324">
        <f t="shared" si="10"/>
        <v>7.5144508670520231</v>
      </c>
      <c r="F93" s="346">
        <v>0</v>
      </c>
      <c r="G93" s="350">
        <v>5770</v>
      </c>
      <c r="H93" s="348">
        <v>1270</v>
      </c>
      <c r="I93" s="324">
        <f t="shared" si="9"/>
        <v>22.010398613518198</v>
      </c>
    </row>
    <row r="94" spans="1:9" ht="15.75" customHeight="1" x14ac:dyDescent="0.2">
      <c r="A94" s="436" t="s">
        <v>290</v>
      </c>
      <c r="B94" s="319">
        <v>118385</v>
      </c>
      <c r="C94" s="323">
        <v>121353</v>
      </c>
      <c r="D94" s="321">
        <v>121353</v>
      </c>
      <c r="E94" s="324">
        <f t="shared" si="10"/>
        <v>100</v>
      </c>
      <c r="F94" s="319">
        <v>109483</v>
      </c>
      <c r="G94" s="323">
        <v>111844</v>
      </c>
      <c r="H94" s="321">
        <v>111844</v>
      </c>
      <c r="I94" s="324">
        <f t="shared" si="9"/>
        <v>100</v>
      </c>
    </row>
    <row r="95" spans="1:9" ht="15.75" customHeight="1" x14ac:dyDescent="0.2">
      <c r="A95" s="437" t="s">
        <v>291</v>
      </c>
      <c r="B95" s="319">
        <v>22960</v>
      </c>
      <c r="C95" s="323">
        <v>22960</v>
      </c>
      <c r="D95" s="321">
        <v>22903.5</v>
      </c>
      <c r="E95" s="324">
        <f t="shared" si="10"/>
        <v>99.753919860627178</v>
      </c>
      <c r="F95" s="319">
        <v>21280</v>
      </c>
      <c r="G95" s="323">
        <v>21280</v>
      </c>
      <c r="H95" s="321">
        <v>20891.68</v>
      </c>
      <c r="I95" s="324">
        <f t="shared" si="9"/>
        <v>98.175187969924821</v>
      </c>
    </row>
    <row r="96" spans="1:9" ht="15.75" customHeight="1" x14ac:dyDescent="0.2">
      <c r="A96" s="437" t="s">
        <v>292</v>
      </c>
      <c r="B96" s="319">
        <v>183066</v>
      </c>
      <c r="C96" s="323">
        <v>194796</v>
      </c>
      <c r="D96" s="321">
        <v>194796</v>
      </c>
      <c r="E96" s="324">
        <f t="shared" si="10"/>
        <v>100</v>
      </c>
      <c r="F96" s="319">
        <v>146174</v>
      </c>
      <c r="G96" s="323">
        <v>163957</v>
      </c>
      <c r="H96" s="321">
        <v>163957</v>
      </c>
      <c r="I96" s="324">
        <f t="shared" si="9"/>
        <v>100</v>
      </c>
    </row>
    <row r="97" spans="1:9" ht="15.75" customHeight="1" thickBot="1" x14ac:dyDescent="0.25">
      <c r="A97" s="438" t="s">
        <v>293</v>
      </c>
      <c r="B97" s="334">
        <v>8800</v>
      </c>
      <c r="C97" s="335">
        <v>8800</v>
      </c>
      <c r="D97" s="336">
        <v>8800</v>
      </c>
      <c r="E97" s="338">
        <f t="shared" si="10"/>
        <v>100</v>
      </c>
      <c r="F97" s="334">
        <v>6400</v>
      </c>
      <c r="G97" s="335">
        <v>6400</v>
      </c>
      <c r="H97" s="336">
        <v>6400</v>
      </c>
      <c r="I97" s="338">
        <f t="shared" si="9"/>
        <v>100</v>
      </c>
    </row>
    <row r="98" spans="1:9" s="378" customFormat="1" ht="15.75" customHeight="1" thickBot="1" x14ac:dyDescent="0.25">
      <c r="A98" s="420" t="s">
        <v>294</v>
      </c>
      <c r="B98" s="359">
        <v>18400</v>
      </c>
      <c r="C98" s="366">
        <v>18400</v>
      </c>
      <c r="D98" s="365">
        <v>20350.900000000001</v>
      </c>
      <c r="E98" s="364">
        <f t="shared" si="10"/>
        <v>110.60271739130437</v>
      </c>
      <c r="F98" s="359">
        <v>23692</v>
      </c>
      <c r="G98" s="366">
        <v>23692</v>
      </c>
      <c r="H98" s="365">
        <v>21450.69</v>
      </c>
      <c r="I98" s="364">
        <f t="shared" si="9"/>
        <v>90.539802464967067</v>
      </c>
    </row>
    <row r="99" spans="1:9" s="378" customFormat="1" ht="15.75" customHeight="1" thickBot="1" x14ac:dyDescent="0.25">
      <c r="A99" s="420" t="s">
        <v>295</v>
      </c>
      <c r="B99" s="359">
        <v>90000</v>
      </c>
      <c r="C99" s="366">
        <v>90000</v>
      </c>
      <c r="D99" s="365">
        <v>38912.800000000003</v>
      </c>
      <c r="E99" s="364">
        <f t="shared" si="10"/>
        <v>43.236444444444452</v>
      </c>
      <c r="F99" s="359">
        <v>85752</v>
      </c>
      <c r="G99" s="366">
        <v>85752</v>
      </c>
      <c r="H99" s="365">
        <v>40104.9</v>
      </c>
      <c r="I99" s="364">
        <f t="shared" si="9"/>
        <v>46.768471872376153</v>
      </c>
    </row>
    <row r="100" spans="1:9" ht="15.75" customHeight="1" thickBot="1" x14ac:dyDescent="0.25">
      <c r="A100" s="439" t="s">
        <v>296</v>
      </c>
      <c r="B100" s="379">
        <v>0</v>
      </c>
      <c r="C100" s="383">
        <v>0</v>
      </c>
      <c r="D100" s="381">
        <v>698.8</v>
      </c>
      <c r="E100" s="384"/>
      <c r="F100" s="379">
        <v>0</v>
      </c>
      <c r="G100" s="383">
        <v>0</v>
      </c>
      <c r="H100" s="381">
        <v>310.8</v>
      </c>
      <c r="I100" s="384"/>
    </row>
    <row r="101" spans="1:9" ht="21" customHeight="1" thickBot="1" x14ac:dyDescent="0.25">
      <c r="A101" s="429" t="s">
        <v>297</v>
      </c>
      <c r="B101" s="309">
        <f t="shared" ref="B101:D101" si="13">SUM(B102:B103)</f>
        <v>0</v>
      </c>
      <c r="C101" s="306">
        <f t="shared" si="13"/>
        <v>0</v>
      </c>
      <c r="D101" s="307">
        <f t="shared" si="13"/>
        <v>1200</v>
      </c>
      <c r="E101" s="384"/>
      <c r="F101" s="309">
        <f t="shared" ref="F101:H101" si="14">SUM(F102:F103)</f>
        <v>0</v>
      </c>
      <c r="G101" s="306">
        <f t="shared" si="14"/>
        <v>0</v>
      </c>
      <c r="H101" s="307">
        <f t="shared" si="14"/>
        <v>0</v>
      </c>
      <c r="I101" s="384"/>
    </row>
    <row r="102" spans="1:9" ht="15.75" customHeight="1" thickBot="1" x14ac:dyDescent="0.25">
      <c r="A102" s="440" t="s">
        <v>298</v>
      </c>
      <c r="B102" s="346">
        <v>0</v>
      </c>
      <c r="C102" s="393">
        <v>0</v>
      </c>
      <c r="D102" s="394">
        <v>0</v>
      </c>
      <c r="E102" s="351"/>
      <c r="F102" s="346">
        <v>0</v>
      </c>
      <c r="G102" s="350">
        <v>0</v>
      </c>
      <c r="H102" s="348">
        <v>0</v>
      </c>
      <c r="I102" s="351"/>
    </row>
    <row r="103" spans="1:9" ht="15.75" customHeight="1" thickBot="1" x14ac:dyDescent="0.25">
      <c r="A103" s="441" t="s">
        <v>299</v>
      </c>
      <c r="B103" s="334">
        <v>0</v>
      </c>
      <c r="C103" s="400">
        <v>0</v>
      </c>
      <c r="D103" s="401">
        <f>500+700</f>
        <v>1200</v>
      </c>
      <c r="E103" s="338"/>
      <c r="F103" s="334">
        <v>0</v>
      </c>
      <c r="G103" s="335">
        <v>0</v>
      </c>
      <c r="H103" s="336">
        <v>0</v>
      </c>
      <c r="I103" s="338"/>
    </row>
    <row r="104" spans="1:9" ht="21.75" customHeight="1" thickBot="1" x14ac:dyDescent="0.25">
      <c r="A104" s="420" t="s">
        <v>300</v>
      </c>
      <c r="B104" s="407">
        <f>B75+B92+B101+B98+B99</f>
        <v>1385323</v>
      </c>
      <c r="C104" s="408">
        <f t="shared" ref="C104:G104" si="15">C75+C92+C101+C98+C99</f>
        <v>1586077</v>
      </c>
      <c r="D104" s="409">
        <f>D75+D92+D101+D98+D99+D100</f>
        <v>1520763.32</v>
      </c>
      <c r="E104" s="384">
        <f t="shared" si="10"/>
        <v>95.882061211403993</v>
      </c>
      <c r="F104" s="407">
        <f t="shared" si="15"/>
        <v>1218861</v>
      </c>
      <c r="G104" s="408">
        <f t="shared" si="15"/>
        <v>1361647</v>
      </c>
      <c r="H104" s="409">
        <f>H75+H92+H101+H98+H99+H100</f>
        <v>1302594.22</v>
      </c>
      <c r="I104" s="384">
        <f t="shared" si="9"/>
        <v>95.663135893517179</v>
      </c>
    </row>
    <row r="105" spans="1:9" ht="15.75" customHeight="1" x14ac:dyDescent="0.2">
      <c r="A105" s="442" t="s">
        <v>301</v>
      </c>
      <c r="B105" s="346">
        <v>0</v>
      </c>
      <c r="C105" s="411">
        <v>0</v>
      </c>
      <c r="D105" s="412">
        <v>0</v>
      </c>
      <c r="E105" s="351"/>
      <c r="F105" s="346">
        <v>0</v>
      </c>
      <c r="G105" s="411">
        <v>0</v>
      </c>
      <c r="H105" s="412">
        <v>0</v>
      </c>
      <c r="I105" s="351"/>
    </row>
    <row r="106" spans="1:9" ht="15.75" customHeight="1" thickBot="1" x14ac:dyDescent="0.25">
      <c r="A106" s="443" t="s">
        <v>302</v>
      </c>
      <c r="B106" s="334">
        <v>0</v>
      </c>
      <c r="C106" s="400">
        <v>0</v>
      </c>
      <c r="D106" s="401">
        <v>0</v>
      </c>
      <c r="E106" s="338"/>
      <c r="F106" s="334">
        <v>0</v>
      </c>
      <c r="G106" s="400">
        <v>0</v>
      </c>
      <c r="H106" s="401">
        <v>0</v>
      </c>
      <c r="I106" s="351"/>
    </row>
    <row r="107" spans="1:9" ht="24" customHeight="1" thickBot="1" x14ac:dyDescent="0.25">
      <c r="A107" s="444" t="s">
        <v>303</v>
      </c>
      <c r="B107" s="407">
        <f>SUM(B104:B106)</f>
        <v>1385323</v>
      </c>
      <c r="C107" s="408">
        <f t="shared" ref="C107:D107" si="16">SUM(C104:C106)</f>
        <v>1586077</v>
      </c>
      <c r="D107" s="409">
        <f t="shared" si="16"/>
        <v>1520763.32</v>
      </c>
      <c r="E107" s="384">
        <f t="shared" si="10"/>
        <v>95.882061211403993</v>
      </c>
      <c r="F107" s="407">
        <f t="shared" ref="F107:H107" si="17">SUM(F104:F106)</f>
        <v>1218861</v>
      </c>
      <c r="G107" s="408">
        <f t="shared" si="17"/>
        <v>1361647</v>
      </c>
      <c r="H107" s="409">
        <f t="shared" si="17"/>
        <v>1302594.22</v>
      </c>
      <c r="I107" s="384">
        <f t="shared" si="9"/>
        <v>95.663135893517179</v>
      </c>
    </row>
    <row r="108" spans="1:9" ht="15.75" customHeight="1" x14ac:dyDescent="0.2">
      <c r="A108" s="416"/>
      <c r="B108" s="417"/>
      <c r="C108" s="417"/>
      <c r="D108" s="417"/>
      <c r="E108" s="418"/>
      <c r="F108" s="445"/>
      <c r="G108" s="445"/>
      <c r="H108" s="445"/>
      <c r="I108" s="446"/>
    </row>
    <row r="109" spans="1:9" ht="20.25" customHeight="1" x14ac:dyDescent="0.2">
      <c r="A109" s="416"/>
      <c r="B109" s="417"/>
      <c r="C109" s="417"/>
      <c r="D109" s="417"/>
      <c r="E109" s="418"/>
      <c r="F109" s="445"/>
      <c r="G109" s="445"/>
      <c r="H109" s="445"/>
      <c r="I109" s="446"/>
    </row>
    <row r="110" spans="1:9" ht="20.25" customHeight="1" x14ac:dyDescent="0.2">
      <c r="A110" s="416"/>
      <c r="B110" s="417"/>
      <c r="C110" s="417"/>
      <c r="D110" s="417"/>
      <c r="E110" s="418"/>
      <c r="F110" s="445"/>
      <c r="G110" s="445"/>
      <c r="H110" s="445"/>
      <c r="I110" s="446"/>
    </row>
    <row r="111" spans="1:9" ht="20.25" customHeight="1" x14ac:dyDescent="0.2">
      <c r="A111" s="416"/>
      <c r="B111" s="417"/>
      <c r="C111" s="417"/>
      <c r="D111" s="417"/>
      <c r="E111" s="418"/>
      <c r="F111" s="445"/>
      <c r="G111" s="445"/>
      <c r="H111" s="445"/>
      <c r="I111" s="446"/>
    </row>
    <row r="112" spans="1:9" ht="20.25" customHeight="1" x14ac:dyDescent="0.2">
      <c r="A112" s="416"/>
      <c r="B112" s="417"/>
      <c r="C112" s="417"/>
      <c r="D112" s="417"/>
      <c r="E112" s="418"/>
      <c r="F112" s="445"/>
      <c r="G112" s="445"/>
      <c r="H112" s="445"/>
      <c r="I112" s="446"/>
    </row>
    <row r="113" spans="1:9" ht="20.25" customHeight="1" x14ac:dyDescent="0.2">
      <c r="A113" s="416"/>
      <c r="B113" s="417"/>
      <c r="C113" s="417"/>
      <c r="D113" s="417"/>
      <c r="E113" s="418"/>
      <c r="F113" s="445"/>
      <c r="G113" s="445"/>
      <c r="H113" s="445"/>
      <c r="I113" s="446"/>
    </row>
    <row r="114" spans="1:9" ht="16.149999999999999" customHeight="1" x14ac:dyDescent="0.2">
      <c r="A114" s="416"/>
      <c r="B114" s="417"/>
      <c r="C114" s="417"/>
      <c r="D114" s="417"/>
      <c r="E114" s="418"/>
      <c r="F114" s="445"/>
      <c r="G114" s="445"/>
      <c r="H114" s="417"/>
      <c r="I114" s="446"/>
    </row>
    <row r="115" spans="1:9" ht="15.75" customHeight="1" x14ac:dyDescent="0.2">
      <c r="A115" s="416"/>
      <c r="B115" s="417"/>
      <c r="C115" s="417"/>
      <c r="D115" s="417"/>
      <c r="E115" s="418"/>
      <c r="F115" s="445"/>
      <c r="G115" s="445"/>
      <c r="H115" s="445"/>
      <c r="I115" s="446"/>
    </row>
    <row r="116" spans="1:9" ht="15.75" hidden="1" customHeight="1" x14ac:dyDescent="0.2">
      <c r="A116" s="416"/>
      <c r="B116" s="417"/>
      <c r="C116" s="417"/>
      <c r="D116" s="417"/>
      <c r="E116" s="418"/>
      <c r="F116" s="445"/>
      <c r="G116" s="445"/>
      <c r="H116" s="445"/>
      <c r="I116" s="446"/>
    </row>
    <row r="117" spans="1:9" ht="15.75" hidden="1" customHeight="1" x14ac:dyDescent="0.2">
      <c r="A117" s="416"/>
      <c r="B117" s="417"/>
      <c r="C117" s="417"/>
      <c r="D117" s="417"/>
      <c r="E117" s="418"/>
      <c r="F117" s="445"/>
      <c r="G117" s="445"/>
      <c r="H117" s="445"/>
      <c r="I117" s="446"/>
    </row>
    <row r="118" spans="1:9" ht="15.75" hidden="1" customHeight="1" x14ac:dyDescent="0.2">
      <c r="A118" s="416"/>
      <c r="B118" s="417"/>
      <c r="C118" s="417"/>
      <c r="D118" s="417"/>
      <c r="E118" s="418"/>
      <c r="F118" s="445"/>
      <c r="G118" s="445"/>
      <c r="H118" s="445"/>
      <c r="I118" s="446"/>
    </row>
    <row r="119" spans="1:9" ht="18.600000000000001" hidden="1" customHeight="1" x14ac:dyDescent="0.2">
      <c r="A119" s="416"/>
      <c r="B119" s="419"/>
      <c r="C119" s="417"/>
      <c r="D119" s="417"/>
      <c r="E119" s="418"/>
      <c r="F119" s="418"/>
      <c r="G119" s="417"/>
      <c r="H119" s="417"/>
      <c r="I119" s="418"/>
    </row>
    <row r="120" spans="1:9" ht="13.5" customHeight="1" x14ac:dyDescent="0.2">
      <c r="A120" s="447"/>
      <c r="B120" s="448"/>
      <c r="C120" s="448"/>
      <c r="D120" s="448"/>
      <c r="E120" s="448"/>
      <c r="F120" s="448"/>
      <c r="G120" s="449"/>
      <c r="H120" s="647" t="s">
        <v>312</v>
      </c>
      <c r="I120" s="647"/>
    </row>
    <row r="121" spans="1:9" ht="14.25" customHeight="1" thickBot="1" x14ac:dyDescent="0.25">
      <c r="A121" s="450"/>
      <c r="B121" s="451"/>
      <c r="C121" s="452"/>
      <c r="D121" s="452"/>
      <c r="E121" s="452"/>
      <c r="F121" s="452"/>
      <c r="G121" s="452"/>
      <c r="I121" s="299" t="s">
        <v>260</v>
      </c>
    </row>
    <row r="122" spans="1:9" ht="23.45" customHeight="1" thickBot="1" x14ac:dyDescent="0.25">
      <c r="A122" s="629" t="s">
        <v>261</v>
      </c>
      <c r="B122" s="631" t="s">
        <v>102</v>
      </c>
      <c r="C122" s="632"/>
      <c r="D122" s="632"/>
      <c r="E122" s="633"/>
      <c r="F122" s="634" t="s">
        <v>313</v>
      </c>
      <c r="G122" s="632"/>
      <c r="H122" s="632"/>
      <c r="I122" s="633"/>
    </row>
    <row r="123" spans="1:9" ht="41.25" customHeight="1" thickBot="1" x14ac:dyDescent="0.25">
      <c r="A123" s="630"/>
      <c r="B123" s="300" t="s">
        <v>53</v>
      </c>
      <c r="C123" s="300" t="s">
        <v>264</v>
      </c>
      <c r="D123" s="301" t="s">
        <v>240</v>
      </c>
      <c r="E123" s="302" t="s">
        <v>238</v>
      </c>
      <c r="F123" s="300" t="s">
        <v>53</v>
      </c>
      <c r="G123" s="300" t="s">
        <v>264</v>
      </c>
      <c r="H123" s="301" t="s">
        <v>240</v>
      </c>
      <c r="I123" s="303" t="s">
        <v>238</v>
      </c>
    </row>
    <row r="124" spans="1:9" ht="24.95" customHeight="1" thickBot="1" x14ac:dyDescent="0.25">
      <c r="A124" s="420" t="s">
        <v>265</v>
      </c>
      <c r="B124" s="309">
        <f>SUM(B125:B129)</f>
        <v>90571</v>
      </c>
      <c r="C124" s="306">
        <f>SUM(C125:C129)</f>
        <v>89631</v>
      </c>
      <c r="D124" s="307">
        <f>SUM(D125:D129)</f>
        <v>77858.62000000001</v>
      </c>
      <c r="E124" s="310">
        <f t="shared" ref="E124:E162" si="18">D124/C124*100</f>
        <v>86.865727259541913</v>
      </c>
      <c r="F124" s="309">
        <f>SUM(F125:F129)</f>
        <v>83640</v>
      </c>
      <c r="G124" s="306">
        <f>SUM(G125:G129)</f>
        <v>66956</v>
      </c>
      <c r="H124" s="307">
        <f>SUM(H125:H129)</f>
        <v>52296.2</v>
      </c>
      <c r="I124" s="310">
        <f t="shared" ref="I124:I146" si="19">H124/G124*100</f>
        <v>78.105322898619988</v>
      </c>
    </row>
    <row r="125" spans="1:9" ht="15.75" customHeight="1" x14ac:dyDescent="0.2">
      <c r="A125" s="421" t="s">
        <v>266</v>
      </c>
      <c r="B125" s="346">
        <v>40860</v>
      </c>
      <c r="C125" s="350">
        <v>31700</v>
      </c>
      <c r="D125" s="348">
        <v>24491.5</v>
      </c>
      <c r="E125" s="351">
        <f t="shared" si="18"/>
        <v>77.260252365930597</v>
      </c>
      <c r="F125" s="346">
        <v>39650</v>
      </c>
      <c r="G125" s="350">
        <v>29131</v>
      </c>
      <c r="H125" s="348">
        <v>25858</v>
      </c>
      <c r="I125" s="351">
        <f t="shared" si="19"/>
        <v>88.764546359548248</v>
      </c>
    </row>
    <row r="126" spans="1:9" ht="15.75" customHeight="1" x14ac:dyDescent="0.2">
      <c r="A126" s="421" t="s">
        <v>267</v>
      </c>
      <c r="B126" s="319">
        <v>23578</v>
      </c>
      <c r="C126" s="323">
        <v>16440</v>
      </c>
      <c r="D126" s="321">
        <v>12612.5</v>
      </c>
      <c r="E126" s="324">
        <f t="shared" si="18"/>
        <v>76.718369829683695</v>
      </c>
      <c r="F126" s="319">
        <v>28032</v>
      </c>
      <c r="G126" s="323">
        <v>22789</v>
      </c>
      <c r="H126" s="321">
        <v>12897.2</v>
      </c>
      <c r="I126" s="324">
        <f t="shared" si="19"/>
        <v>56.593970775374089</v>
      </c>
    </row>
    <row r="127" spans="1:9" ht="15.75" customHeight="1" x14ac:dyDescent="0.2">
      <c r="A127" s="422" t="s">
        <v>268</v>
      </c>
      <c r="B127" s="319">
        <v>9108</v>
      </c>
      <c r="C127" s="323">
        <v>8105</v>
      </c>
      <c r="D127" s="321">
        <v>6248.33</v>
      </c>
      <c r="E127" s="423">
        <f t="shared" si="18"/>
        <v>77.09228871067242</v>
      </c>
      <c r="F127" s="319">
        <v>3115</v>
      </c>
      <c r="G127" s="323">
        <v>1769</v>
      </c>
      <c r="H127" s="321">
        <v>1331.65</v>
      </c>
      <c r="I127" s="423">
        <f t="shared" si="19"/>
        <v>75.27699265121538</v>
      </c>
    </row>
    <row r="128" spans="1:9" ht="15.75" customHeight="1" x14ac:dyDescent="0.2">
      <c r="A128" s="421" t="s">
        <v>269</v>
      </c>
      <c r="B128" s="319">
        <v>17025</v>
      </c>
      <c r="C128" s="323">
        <v>17025</v>
      </c>
      <c r="D128" s="321">
        <v>18139.77</v>
      </c>
      <c r="E128" s="423">
        <f t="shared" si="18"/>
        <v>106.54784140969163</v>
      </c>
      <c r="F128" s="319">
        <v>12843</v>
      </c>
      <c r="G128" s="323">
        <v>12843</v>
      </c>
      <c r="H128" s="321">
        <v>11230.41</v>
      </c>
      <c r="I128" s="423">
        <f t="shared" si="19"/>
        <v>87.443821537024064</v>
      </c>
    </row>
    <row r="129" spans="1:9" ht="15.75" customHeight="1" thickBot="1" x14ac:dyDescent="0.25">
      <c r="A129" s="424" t="s">
        <v>270</v>
      </c>
      <c r="B129" s="334">
        <v>0</v>
      </c>
      <c r="C129" s="335">
        <v>16361</v>
      </c>
      <c r="D129" s="336">
        <f>450+250+5210.53+251.51+5789.47+4409.08+5.93</f>
        <v>16366.52</v>
      </c>
      <c r="E129" s="425">
        <f t="shared" si="18"/>
        <v>100.0337387690239</v>
      </c>
      <c r="F129" s="334">
        <v>0</v>
      </c>
      <c r="G129" s="335">
        <v>424</v>
      </c>
      <c r="H129" s="336">
        <f>554.4+280+138.2+6.34</f>
        <v>978.93999999999994</v>
      </c>
      <c r="I129" s="425">
        <f t="shared" si="19"/>
        <v>230.88207547169807</v>
      </c>
    </row>
    <row r="130" spans="1:9" ht="24.95" customHeight="1" thickBot="1" x14ac:dyDescent="0.25">
      <c r="A130" s="426" t="s">
        <v>271</v>
      </c>
      <c r="B130" s="309">
        <f>B134+B145+B146</f>
        <v>819900</v>
      </c>
      <c r="C130" s="306">
        <f>C134+C145+C146</f>
        <v>957359</v>
      </c>
      <c r="D130" s="307">
        <f>D134+D145+D146</f>
        <v>962772.31</v>
      </c>
      <c r="E130" s="454">
        <f t="shared" si="18"/>
        <v>100.56544201287083</v>
      </c>
      <c r="F130" s="309">
        <f>F134+F145+F146</f>
        <v>797392</v>
      </c>
      <c r="G130" s="306">
        <f>G134+G145+G146</f>
        <v>963676</v>
      </c>
      <c r="H130" s="307">
        <f>H134+H145+H146</f>
        <v>974255.32999999984</v>
      </c>
      <c r="I130" s="454">
        <f t="shared" si="19"/>
        <v>101.09780984480258</v>
      </c>
    </row>
    <row r="131" spans="1:9" ht="21.75" customHeight="1" x14ac:dyDescent="0.2">
      <c r="A131" s="421" t="s">
        <v>272</v>
      </c>
      <c r="B131" s="346">
        <v>674350</v>
      </c>
      <c r="C131" s="350">
        <v>733626</v>
      </c>
      <c r="D131" s="348">
        <v>733626</v>
      </c>
      <c r="E131" s="455">
        <f t="shared" si="18"/>
        <v>100</v>
      </c>
      <c r="F131" s="346">
        <v>697199</v>
      </c>
      <c r="G131" s="350">
        <v>800271</v>
      </c>
      <c r="H131" s="348">
        <v>800271</v>
      </c>
      <c r="I131" s="455">
        <f t="shared" si="19"/>
        <v>100</v>
      </c>
    </row>
    <row r="132" spans="1:9" ht="19.5" customHeight="1" x14ac:dyDescent="0.2">
      <c r="A132" s="427" t="s">
        <v>273</v>
      </c>
      <c r="B132" s="319">
        <v>145550</v>
      </c>
      <c r="C132" s="323">
        <v>173617</v>
      </c>
      <c r="D132" s="321">
        <v>136594.79999999999</v>
      </c>
      <c r="E132" s="423">
        <f t="shared" si="18"/>
        <v>78.675936112247072</v>
      </c>
      <c r="F132" s="319">
        <v>100193</v>
      </c>
      <c r="G132" s="323">
        <v>124749</v>
      </c>
      <c r="H132" s="321">
        <v>115228.69</v>
      </c>
      <c r="I132" s="423">
        <f t="shared" si="19"/>
        <v>92.368427803028482</v>
      </c>
    </row>
    <row r="133" spans="1:9" ht="18.75" customHeight="1" thickBot="1" x14ac:dyDescent="0.25">
      <c r="A133" s="428" t="s">
        <v>307</v>
      </c>
      <c r="B133" s="334"/>
      <c r="C133" s="335"/>
      <c r="D133" s="336">
        <f>7390.67-196.8</f>
        <v>7193.87</v>
      </c>
      <c r="E133" s="425"/>
      <c r="F133" s="334"/>
      <c r="G133" s="335"/>
      <c r="H133" s="336">
        <v>13226.95</v>
      </c>
      <c r="I133" s="425"/>
    </row>
    <row r="134" spans="1:9" s="434" customFormat="1" ht="30" customHeight="1" thickBot="1" x14ac:dyDescent="0.25">
      <c r="A134" s="429" t="s">
        <v>308</v>
      </c>
      <c r="B134" s="359">
        <f>SUM(B131:B133)</f>
        <v>819900</v>
      </c>
      <c r="C134" s="306">
        <f>SUM(C131:C133)</f>
        <v>907243</v>
      </c>
      <c r="D134" s="307">
        <f>SUM(D131:D133)</f>
        <v>877414.67</v>
      </c>
      <c r="E134" s="456">
        <f t="shared" si="18"/>
        <v>96.712200590139588</v>
      </c>
      <c r="F134" s="359">
        <f>SUM(F131:F133)</f>
        <v>797392</v>
      </c>
      <c r="G134" s="306">
        <f>SUM(G131:G133)</f>
        <v>925020</v>
      </c>
      <c r="H134" s="307">
        <f>SUM(H131:H133)</f>
        <v>928726.6399999999</v>
      </c>
      <c r="I134" s="456">
        <f t="shared" si="19"/>
        <v>100.40070917385569</v>
      </c>
    </row>
    <row r="135" spans="1:9" ht="16.5" customHeight="1" x14ac:dyDescent="0.2">
      <c r="A135" s="430" t="s">
        <v>276</v>
      </c>
      <c r="B135" s="346">
        <v>0</v>
      </c>
      <c r="C135" s="350">
        <v>10835</v>
      </c>
      <c r="D135" s="348">
        <v>10835</v>
      </c>
      <c r="E135" s="455">
        <f t="shared" si="18"/>
        <v>100</v>
      </c>
      <c r="F135" s="346">
        <v>0</v>
      </c>
      <c r="G135" s="350">
        <v>5376</v>
      </c>
      <c r="H135" s="348">
        <v>5376</v>
      </c>
      <c r="I135" s="455">
        <f t="shared" si="19"/>
        <v>100</v>
      </c>
    </row>
    <row r="136" spans="1:9" ht="17.25" customHeight="1" x14ac:dyDescent="0.2">
      <c r="A136" s="422" t="s">
        <v>309</v>
      </c>
      <c r="B136" s="319">
        <v>0</v>
      </c>
      <c r="C136" s="323">
        <v>4800</v>
      </c>
      <c r="D136" s="321">
        <v>4800</v>
      </c>
      <c r="E136" s="423">
        <f t="shared" si="18"/>
        <v>100</v>
      </c>
      <c r="F136" s="319">
        <v>0</v>
      </c>
      <c r="G136" s="323">
        <v>0</v>
      </c>
      <c r="H136" s="321">
        <v>0</v>
      </c>
      <c r="I136" s="423"/>
    </row>
    <row r="137" spans="1:9" ht="17.25" customHeight="1" x14ac:dyDescent="0.2">
      <c r="A137" s="422" t="s">
        <v>278</v>
      </c>
      <c r="B137" s="319">
        <v>0</v>
      </c>
      <c r="C137" s="323">
        <v>10973</v>
      </c>
      <c r="D137" s="321">
        <v>10973</v>
      </c>
      <c r="E137" s="423">
        <f t="shared" si="18"/>
        <v>100</v>
      </c>
      <c r="F137" s="319">
        <v>0</v>
      </c>
      <c r="G137" s="323">
        <v>18288</v>
      </c>
      <c r="H137" s="321">
        <v>18288</v>
      </c>
      <c r="I137" s="423">
        <f t="shared" si="19"/>
        <v>100</v>
      </c>
    </row>
    <row r="138" spans="1:9" ht="17.25" customHeight="1" x14ac:dyDescent="0.2">
      <c r="A138" s="422" t="s">
        <v>279</v>
      </c>
      <c r="B138" s="319">
        <v>0</v>
      </c>
      <c r="C138" s="323">
        <v>0</v>
      </c>
      <c r="D138" s="321">
        <v>0</v>
      </c>
      <c r="E138" s="423"/>
      <c r="F138" s="319">
        <v>0</v>
      </c>
      <c r="G138" s="323">
        <v>0</v>
      </c>
      <c r="H138" s="321">
        <v>0</v>
      </c>
      <c r="I138" s="423"/>
    </row>
    <row r="139" spans="1:9" ht="16.5" customHeight="1" x14ac:dyDescent="0.2">
      <c r="A139" s="431" t="s">
        <v>280</v>
      </c>
      <c r="B139" s="319">
        <v>0</v>
      </c>
      <c r="C139" s="323">
        <v>0</v>
      </c>
      <c r="D139" s="321">
        <v>0</v>
      </c>
      <c r="E139" s="423"/>
      <c r="F139" s="319">
        <v>0</v>
      </c>
      <c r="G139" s="323">
        <v>0</v>
      </c>
      <c r="H139" s="321">
        <v>0</v>
      </c>
      <c r="I139" s="423"/>
    </row>
    <row r="140" spans="1:9" ht="17.25" customHeight="1" x14ac:dyDescent="0.2">
      <c r="A140" s="431" t="s">
        <v>281</v>
      </c>
      <c r="B140" s="319">
        <v>0</v>
      </c>
      <c r="C140" s="323">
        <v>11008</v>
      </c>
      <c r="D140" s="321">
        <v>11008</v>
      </c>
      <c r="E140" s="423">
        <f t="shared" si="18"/>
        <v>100</v>
      </c>
      <c r="F140" s="319">
        <v>0</v>
      </c>
      <c r="G140" s="323">
        <v>13912</v>
      </c>
      <c r="H140" s="321">
        <v>13912</v>
      </c>
      <c r="I140" s="423">
        <f t="shared" si="19"/>
        <v>100</v>
      </c>
    </row>
    <row r="141" spans="1:9" ht="17.25" customHeight="1" x14ac:dyDescent="0.2">
      <c r="A141" s="431" t="s">
        <v>282</v>
      </c>
      <c r="B141" s="319">
        <v>0</v>
      </c>
      <c r="C141" s="323">
        <v>0</v>
      </c>
      <c r="D141" s="321">
        <v>0</v>
      </c>
      <c r="E141" s="423"/>
      <c r="F141" s="319">
        <v>0</v>
      </c>
      <c r="G141" s="323">
        <v>0</v>
      </c>
      <c r="H141" s="321">
        <v>0</v>
      </c>
      <c r="I141" s="423"/>
    </row>
    <row r="142" spans="1:9" ht="18" customHeight="1" x14ac:dyDescent="0.2">
      <c r="A142" s="431" t="s">
        <v>283</v>
      </c>
      <c r="B142" s="319">
        <v>0</v>
      </c>
      <c r="C142" s="323">
        <v>0</v>
      </c>
      <c r="D142" s="321">
        <v>0</v>
      </c>
      <c r="E142" s="423"/>
      <c r="F142" s="319">
        <v>0</v>
      </c>
      <c r="G142" s="323">
        <v>0</v>
      </c>
      <c r="H142" s="321">
        <v>0</v>
      </c>
      <c r="I142" s="423"/>
    </row>
    <row r="143" spans="1:9" ht="15" customHeight="1" x14ac:dyDescent="0.2">
      <c r="A143" s="431" t="s">
        <v>284</v>
      </c>
      <c r="B143" s="319">
        <v>0</v>
      </c>
      <c r="C143" s="323">
        <v>800</v>
      </c>
      <c r="D143" s="321">
        <v>0</v>
      </c>
      <c r="E143" s="423"/>
      <c r="F143" s="319">
        <v>0</v>
      </c>
      <c r="G143" s="323">
        <v>800</v>
      </c>
      <c r="H143" s="321">
        <v>0</v>
      </c>
      <c r="I143" s="423"/>
    </row>
    <row r="144" spans="1:9" ht="19.5" customHeight="1" thickBot="1" x14ac:dyDescent="0.25">
      <c r="A144" s="432" t="s">
        <v>285</v>
      </c>
      <c r="B144" s="334">
        <v>0</v>
      </c>
      <c r="C144" s="335">
        <v>0</v>
      </c>
      <c r="D144" s="336">
        <v>0</v>
      </c>
      <c r="E144" s="425"/>
      <c r="F144" s="334">
        <v>0</v>
      </c>
      <c r="G144" s="335">
        <v>0</v>
      </c>
      <c r="H144" s="336">
        <v>0</v>
      </c>
      <c r="I144" s="425"/>
    </row>
    <row r="145" spans="1:9" s="434" customFormat="1" ht="19.5" customHeight="1" thickBot="1" x14ac:dyDescent="0.25">
      <c r="A145" s="420" t="s">
        <v>310</v>
      </c>
      <c r="B145" s="359">
        <f>SUM(B135:B144)</f>
        <v>0</v>
      </c>
      <c r="C145" s="366">
        <f>SUM(C135:C144)</f>
        <v>38416</v>
      </c>
      <c r="D145" s="365">
        <f>SUM(D135:D144)</f>
        <v>37616</v>
      </c>
      <c r="E145" s="456">
        <f t="shared" si="18"/>
        <v>97.917534360683049</v>
      </c>
      <c r="F145" s="359">
        <f>SUM(F135:F144)</f>
        <v>0</v>
      </c>
      <c r="G145" s="366">
        <f>SUM(G135:G144)</f>
        <v>38376</v>
      </c>
      <c r="H145" s="365">
        <f>SUM(H135:H144)</f>
        <v>37576</v>
      </c>
      <c r="I145" s="456">
        <f t="shared" si="19"/>
        <v>97.915363769022306</v>
      </c>
    </row>
    <row r="146" spans="1:9" s="434" customFormat="1" ht="17.25" customHeight="1" thickBot="1" x14ac:dyDescent="0.25">
      <c r="A146" s="420" t="s">
        <v>311</v>
      </c>
      <c r="B146" s="359">
        <v>0</v>
      </c>
      <c r="C146" s="366">
        <v>11700</v>
      </c>
      <c r="D146" s="365">
        <f>700+47041.64</f>
        <v>47741.64</v>
      </c>
      <c r="E146" s="456">
        <f t="shared" si="18"/>
        <v>408.04820512820515</v>
      </c>
      <c r="F146" s="359"/>
      <c r="G146" s="366">
        <v>280</v>
      </c>
      <c r="H146" s="365">
        <f>280+4494.41+3178.28</f>
        <v>7952.6900000000005</v>
      </c>
      <c r="I146" s="456">
        <f t="shared" si="19"/>
        <v>2840.2464285714286</v>
      </c>
    </row>
    <row r="147" spans="1:9" s="434" customFormat="1" ht="24.95" customHeight="1" thickBot="1" x14ac:dyDescent="0.25">
      <c r="A147" s="426" t="s">
        <v>288</v>
      </c>
      <c r="B147" s="309">
        <f>SUM(B148:B152)</f>
        <v>296408</v>
      </c>
      <c r="C147" s="306">
        <f>SUM(C148:C152)</f>
        <v>344266</v>
      </c>
      <c r="D147" s="307">
        <f>SUM(D148:D152)</f>
        <v>343379.41000000003</v>
      </c>
      <c r="E147" s="456">
        <f t="shared" si="18"/>
        <v>99.742469485804591</v>
      </c>
      <c r="F147" s="309">
        <f>SUM(F148:F152)</f>
        <v>248232</v>
      </c>
      <c r="G147" s="306">
        <f>SUM(G148:G152)</f>
        <v>266752</v>
      </c>
      <c r="H147" s="307">
        <f>SUM(H148:H152)</f>
        <v>266725</v>
      </c>
      <c r="I147" s="310">
        <f>H147/G147*100</f>
        <v>99.989878238963541</v>
      </c>
    </row>
    <row r="148" spans="1:9" ht="15.75" customHeight="1" x14ac:dyDescent="0.2">
      <c r="A148" s="457" t="s">
        <v>289</v>
      </c>
      <c r="B148" s="346">
        <v>0</v>
      </c>
      <c r="C148" s="350">
        <v>4449</v>
      </c>
      <c r="D148" s="348">
        <f>2755.11+1029.33</f>
        <v>3784.44</v>
      </c>
      <c r="E148" s="423">
        <f t="shared" si="18"/>
        <v>85.062710721510442</v>
      </c>
      <c r="F148" s="346">
        <v>0</v>
      </c>
      <c r="G148" s="350">
        <v>1380</v>
      </c>
      <c r="H148" s="348">
        <v>1381.19</v>
      </c>
      <c r="I148" s="458">
        <f t="shared" ref="I148:I162" si="20">H148/G148*100</f>
        <v>100.08623188405798</v>
      </c>
    </row>
    <row r="149" spans="1:9" ht="15.75" customHeight="1" x14ac:dyDescent="0.2">
      <c r="A149" s="436" t="s">
        <v>290</v>
      </c>
      <c r="B149" s="319">
        <v>99091</v>
      </c>
      <c r="C149" s="323">
        <v>101091</v>
      </c>
      <c r="D149" s="321">
        <v>101091</v>
      </c>
      <c r="E149" s="423">
        <f t="shared" si="18"/>
        <v>100</v>
      </c>
      <c r="F149" s="319">
        <v>87829</v>
      </c>
      <c r="G149" s="323">
        <v>88571</v>
      </c>
      <c r="H149" s="321">
        <v>88571</v>
      </c>
      <c r="I149" s="458">
        <f t="shared" si="20"/>
        <v>100</v>
      </c>
    </row>
    <row r="150" spans="1:9" ht="15.75" customHeight="1" x14ac:dyDescent="0.2">
      <c r="A150" s="437" t="s">
        <v>291</v>
      </c>
      <c r="B150" s="319">
        <v>14560</v>
      </c>
      <c r="C150" s="323">
        <v>14560</v>
      </c>
      <c r="D150" s="321">
        <v>14337.97</v>
      </c>
      <c r="E150" s="324">
        <f t="shared" si="18"/>
        <v>98.475068681318675</v>
      </c>
      <c r="F150" s="319">
        <v>14560</v>
      </c>
      <c r="G150" s="323">
        <v>14560</v>
      </c>
      <c r="H150" s="321">
        <v>14560</v>
      </c>
      <c r="I150" s="458">
        <f t="shared" si="20"/>
        <v>100</v>
      </c>
    </row>
    <row r="151" spans="1:9" ht="15.75" customHeight="1" x14ac:dyDescent="0.2">
      <c r="A151" s="437" t="s">
        <v>292</v>
      </c>
      <c r="B151" s="319">
        <v>174957</v>
      </c>
      <c r="C151" s="323">
        <v>216366</v>
      </c>
      <c r="D151" s="321">
        <v>216366</v>
      </c>
      <c r="E151" s="324">
        <f t="shared" si="18"/>
        <v>100</v>
      </c>
      <c r="F151" s="319">
        <v>139443</v>
      </c>
      <c r="G151" s="323">
        <v>155841</v>
      </c>
      <c r="H151" s="321">
        <v>155841</v>
      </c>
      <c r="I151" s="458">
        <f t="shared" si="20"/>
        <v>100</v>
      </c>
    </row>
    <row r="152" spans="1:9" ht="15.75" customHeight="1" thickBot="1" x14ac:dyDescent="0.25">
      <c r="A152" s="459" t="s">
        <v>293</v>
      </c>
      <c r="B152" s="334">
        <v>7800</v>
      </c>
      <c r="C152" s="335">
        <v>7800</v>
      </c>
      <c r="D152" s="336">
        <v>7800</v>
      </c>
      <c r="E152" s="338">
        <f t="shared" si="18"/>
        <v>100</v>
      </c>
      <c r="F152" s="334">
        <v>6400</v>
      </c>
      <c r="G152" s="335">
        <v>6400</v>
      </c>
      <c r="H152" s="336">
        <v>6371.81</v>
      </c>
      <c r="I152" s="460">
        <f t="shared" si="20"/>
        <v>99.559531250000006</v>
      </c>
    </row>
    <row r="153" spans="1:9" s="434" customFormat="1" ht="15.75" customHeight="1" thickBot="1" x14ac:dyDescent="0.25">
      <c r="A153" s="420" t="s">
        <v>294</v>
      </c>
      <c r="B153" s="359">
        <v>17025</v>
      </c>
      <c r="C153" s="366">
        <v>17025</v>
      </c>
      <c r="D153" s="365">
        <v>20389.439999999999</v>
      </c>
      <c r="E153" s="364">
        <f t="shared" si="18"/>
        <v>119.76176211453745</v>
      </c>
      <c r="F153" s="359">
        <v>12843</v>
      </c>
      <c r="G153" s="366">
        <v>12843</v>
      </c>
      <c r="H153" s="365">
        <v>10580.07</v>
      </c>
      <c r="I153" s="310">
        <f t="shared" si="20"/>
        <v>82.380051389862174</v>
      </c>
    </row>
    <row r="154" spans="1:9" s="434" customFormat="1" ht="18" customHeight="1" thickBot="1" x14ac:dyDescent="0.25">
      <c r="A154" s="420" t="s">
        <v>295</v>
      </c>
      <c r="B154" s="359">
        <v>57607</v>
      </c>
      <c r="C154" s="366">
        <v>57607</v>
      </c>
      <c r="D154" s="365">
        <v>21405</v>
      </c>
      <c r="E154" s="364">
        <f t="shared" si="18"/>
        <v>37.156942732654016</v>
      </c>
      <c r="F154" s="359">
        <v>75110</v>
      </c>
      <c r="G154" s="366">
        <v>75110</v>
      </c>
      <c r="H154" s="365">
        <v>30531.599999999999</v>
      </c>
      <c r="I154" s="310">
        <f t="shared" si="20"/>
        <v>40.649181200905339</v>
      </c>
    </row>
    <row r="155" spans="1:9" ht="15.75" customHeight="1" thickBot="1" x14ac:dyDescent="0.25">
      <c r="A155" s="439" t="s">
        <v>296</v>
      </c>
      <c r="B155" s="379">
        <v>0</v>
      </c>
      <c r="C155" s="383">
        <v>0</v>
      </c>
      <c r="D155" s="381">
        <v>196.8</v>
      </c>
      <c r="E155" s="384"/>
      <c r="F155" s="379">
        <v>0</v>
      </c>
      <c r="G155" s="383">
        <v>0</v>
      </c>
      <c r="H155" s="381">
        <v>0</v>
      </c>
      <c r="I155" s="461"/>
    </row>
    <row r="156" spans="1:9" ht="17.45" customHeight="1" thickBot="1" x14ac:dyDescent="0.25">
      <c r="A156" s="429" t="s">
        <v>297</v>
      </c>
      <c r="B156" s="309">
        <f t="shared" ref="B156:D156" si="21">SUM(B157:B158)</f>
        <v>0</v>
      </c>
      <c r="C156" s="306">
        <f t="shared" si="21"/>
        <v>0</v>
      </c>
      <c r="D156" s="307">
        <f t="shared" si="21"/>
        <v>0</v>
      </c>
      <c r="E156" s="384"/>
      <c r="F156" s="309">
        <f t="shared" ref="F156:H156" si="22">SUM(F157:F158)</f>
        <v>0</v>
      </c>
      <c r="G156" s="306">
        <f t="shared" si="22"/>
        <v>0</v>
      </c>
      <c r="H156" s="307">
        <f t="shared" si="22"/>
        <v>0</v>
      </c>
      <c r="I156" s="310"/>
    </row>
    <row r="157" spans="1:9" ht="15" customHeight="1" thickBot="1" x14ac:dyDescent="0.25">
      <c r="A157" s="389" t="s">
        <v>298</v>
      </c>
      <c r="B157" s="346">
        <v>0</v>
      </c>
      <c r="C157" s="350">
        <v>0</v>
      </c>
      <c r="D157" s="348">
        <v>0</v>
      </c>
      <c r="E157" s="351"/>
      <c r="F157" s="462">
        <v>0</v>
      </c>
      <c r="G157" s="350">
        <v>0</v>
      </c>
      <c r="H157" s="348">
        <v>0</v>
      </c>
      <c r="I157" s="458"/>
    </row>
    <row r="158" spans="1:9" ht="14.25" customHeight="1" thickBot="1" x14ac:dyDescent="0.25">
      <c r="A158" s="396" t="s">
        <v>299</v>
      </c>
      <c r="B158" s="334">
        <v>0</v>
      </c>
      <c r="C158" s="335">
        <v>0</v>
      </c>
      <c r="D158" s="336">
        <v>0</v>
      </c>
      <c r="E158" s="338"/>
      <c r="F158" s="463">
        <v>0</v>
      </c>
      <c r="G158" s="335">
        <v>0</v>
      </c>
      <c r="H158" s="336">
        <v>0</v>
      </c>
      <c r="I158" s="458"/>
    </row>
    <row r="159" spans="1:9" ht="23.45" customHeight="1" thickBot="1" x14ac:dyDescent="0.25">
      <c r="A159" s="420" t="s">
        <v>300</v>
      </c>
      <c r="B159" s="309">
        <f>B130+B147+B156+B153+B154</f>
        <v>1190940</v>
      </c>
      <c r="C159" s="306">
        <f t="shared" ref="C159" si="23">C130+C147+C156+C153+C154</f>
        <v>1376257</v>
      </c>
      <c r="D159" s="409">
        <f>D130+D147+D156+D153+D154+D155</f>
        <v>1348142.9600000002</v>
      </c>
      <c r="E159" s="384">
        <f t="shared" si="18"/>
        <v>97.957210026906324</v>
      </c>
      <c r="F159" s="309">
        <f>F130+F147+F156+F153+F154</f>
        <v>1133577</v>
      </c>
      <c r="G159" s="306">
        <f t="shared" ref="G159" si="24">G130+G147+G156+G153+G154</f>
        <v>1318381</v>
      </c>
      <c r="H159" s="409">
        <f>H130+H147+H156+H153+H154+H155</f>
        <v>1282092</v>
      </c>
      <c r="I159" s="310">
        <f t="shared" si="20"/>
        <v>97.24745729800415</v>
      </c>
    </row>
    <row r="160" spans="1:9" ht="15.75" customHeight="1" x14ac:dyDescent="0.2">
      <c r="A160" s="442" t="s">
        <v>301</v>
      </c>
      <c r="B160" s="346">
        <v>0</v>
      </c>
      <c r="C160" s="411">
        <v>0</v>
      </c>
      <c r="D160" s="412">
        <v>0</v>
      </c>
      <c r="E160" s="351"/>
      <c r="F160" s="346">
        <v>0</v>
      </c>
      <c r="G160" s="411">
        <v>0</v>
      </c>
      <c r="H160" s="412">
        <v>0</v>
      </c>
      <c r="I160" s="395"/>
    </row>
    <row r="161" spans="1:9" ht="15.75" customHeight="1" thickBot="1" x14ac:dyDescent="0.25">
      <c r="A161" s="443" t="s">
        <v>302</v>
      </c>
      <c r="B161" s="334">
        <v>0</v>
      </c>
      <c r="C161" s="400">
        <v>0</v>
      </c>
      <c r="D161" s="401">
        <v>0</v>
      </c>
      <c r="E161" s="338"/>
      <c r="F161" s="334">
        <v>0</v>
      </c>
      <c r="G161" s="400">
        <v>0</v>
      </c>
      <c r="H161" s="401">
        <v>0</v>
      </c>
      <c r="I161" s="402"/>
    </row>
    <row r="162" spans="1:9" ht="21.6" customHeight="1" thickBot="1" x14ac:dyDescent="0.25">
      <c r="A162" s="444" t="s">
        <v>303</v>
      </c>
      <c r="B162" s="363">
        <f>SUM(B159:B161)</f>
        <v>1190940</v>
      </c>
      <c r="C162" s="360">
        <f t="shared" ref="C162:D162" si="25">SUM(C159:C161)</f>
        <v>1376257</v>
      </c>
      <c r="D162" s="361">
        <f t="shared" si="25"/>
        <v>1348142.9600000002</v>
      </c>
      <c r="E162" s="384">
        <f t="shared" si="18"/>
        <v>97.957210026906324</v>
      </c>
      <c r="F162" s="363">
        <f>SUM(F159:F161)</f>
        <v>1133577</v>
      </c>
      <c r="G162" s="360">
        <f t="shared" ref="G162:H162" si="26">SUM(G159:G161)</f>
        <v>1318381</v>
      </c>
      <c r="H162" s="361">
        <f t="shared" si="26"/>
        <v>1282092</v>
      </c>
      <c r="I162" s="310">
        <f t="shared" si="20"/>
        <v>97.24745729800415</v>
      </c>
    </row>
    <row r="163" spans="1:9" ht="16.5" customHeight="1" x14ac:dyDescent="0.2">
      <c r="A163" s="416"/>
      <c r="B163" s="445"/>
      <c r="C163" s="445"/>
      <c r="D163" s="445"/>
      <c r="E163" s="446"/>
      <c r="F163" s="445"/>
      <c r="G163" s="445"/>
      <c r="H163" s="445"/>
      <c r="I163" s="446"/>
    </row>
    <row r="164" spans="1:9" ht="16.5" customHeight="1" x14ac:dyDescent="0.2">
      <c r="A164" s="416"/>
      <c r="B164" s="445"/>
      <c r="C164" s="445"/>
      <c r="D164" s="445"/>
      <c r="E164" s="446"/>
      <c r="F164" s="445"/>
      <c r="G164" s="445"/>
      <c r="H164" s="445"/>
      <c r="I164" s="446"/>
    </row>
    <row r="165" spans="1:9" ht="16.5" customHeight="1" x14ac:dyDescent="0.2">
      <c r="A165" s="416"/>
      <c r="B165" s="445"/>
      <c r="C165" s="445"/>
      <c r="D165" s="445"/>
      <c r="E165" s="446"/>
      <c r="F165" s="445"/>
      <c r="G165" s="445"/>
      <c r="H165" s="445"/>
      <c r="I165" s="446"/>
    </row>
    <row r="166" spans="1:9" ht="16.5" customHeight="1" x14ac:dyDescent="0.2">
      <c r="A166" s="416"/>
      <c r="B166" s="445"/>
      <c r="C166" s="445"/>
      <c r="D166" s="445"/>
      <c r="E166" s="446"/>
      <c r="F166" s="445"/>
      <c r="G166" s="445"/>
      <c r="H166" s="445"/>
      <c r="I166" s="446"/>
    </row>
    <row r="167" spans="1:9" ht="16.5" customHeight="1" x14ac:dyDescent="0.2">
      <c r="A167" s="416"/>
      <c r="B167" s="445"/>
      <c r="C167" s="445"/>
      <c r="D167" s="445"/>
      <c r="E167" s="446"/>
      <c r="F167" s="445"/>
      <c r="G167" s="445"/>
      <c r="H167" s="445"/>
      <c r="I167" s="446"/>
    </row>
    <row r="168" spans="1:9" ht="18" customHeight="1" x14ac:dyDescent="0.2">
      <c r="A168" s="416"/>
      <c r="B168" s="445"/>
      <c r="C168" s="445"/>
      <c r="D168" s="445"/>
      <c r="E168" s="446"/>
      <c r="F168" s="445"/>
      <c r="G168" s="445"/>
      <c r="H168" s="445"/>
      <c r="I168" s="446"/>
    </row>
    <row r="169" spans="1:9" ht="18" customHeight="1" x14ac:dyDescent="0.2">
      <c r="A169" s="416"/>
      <c r="B169" s="445"/>
      <c r="C169" s="445"/>
      <c r="D169" s="417"/>
      <c r="E169" s="446"/>
      <c r="F169" s="445"/>
      <c r="G169" s="445"/>
      <c r="H169" s="417"/>
      <c r="I169" s="446"/>
    </row>
    <row r="170" spans="1:9" ht="12.75" customHeight="1" x14ac:dyDescent="0.2">
      <c r="A170" s="416"/>
      <c r="B170" s="445"/>
      <c r="C170" s="445"/>
      <c r="D170" s="445"/>
      <c r="E170" s="446"/>
      <c r="F170" s="445"/>
      <c r="G170" s="445"/>
      <c r="H170" s="445"/>
      <c r="I170" s="446"/>
    </row>
    <row r="171" spans="1:9" ht="12" hidden="1" customHeight="1" x14ac:dyDescent="0.2">
      <c r="A171" s="416"/>
      <c r="B171" s="445"/>
      <c r="C171" s="445"/>
      <c r="D171" s="445"/>
      <c r="E171" s="446"/>
      <c r="F171" s="445"/>
      <c r="G171" s="445"/>
      <c r="H171" s="445"/>
      <c r="I171" s="446"/>
    </row>
    <row r="172" spans="1:9" ht="12.75" hidden="1" customHeight="1" x14ac:dyDescent="0.2">
      <c r="A172" s="416"/>
      <c r="B172" s="445"/>
      <c r="C172" s="445"/>
      <c r="D172" s="445"/>
      <c r="E172" s="446"/>
      <c r="F172" s="445"/>
      <c r="G172" s="445"/>
      <c r="H172" s="445"/>
      <c r="I172" s="446"/>
    </row>
    <row r="173" spans="1:9" ht="15" hidden="1" customHeight="1" x14ac:dyDescent="0.2">
      <c r="A173" s="416"/>
      <c r="B173" s="445"/>
      <c r="C173" s="445"/>
      <c r="D173" s="445"/>
      <c r="E173" s="446"/>
      <c r="F173" s="445"/>
      <c r="G173" s="445"/>
      <c r="H173" s="445"/>
      <c r="I173" s="446"/>
    </row>
    <row r="174" spans="1:9" ht="13.5" hidden="1" customHeight="1" x14ac:dyDescent="0.2">
      <c r="A174" s="416"/>
      <c r="B174" s="445"/>
      <c r="C174" s="445"/>
      <c r="D174" s="445"/>
      <c r="E174" s="446"/>
      <c r="F174" s="445"/>
      <c r="G174" s="445"/>
      <c r="H174" s="445"/>
      <c r="I174" s="446"/>
    </row>
    <row r="175" spans="1:9" ht="13.9" customHeight="1" x14ac:dyDescent="0.2">
      <c r="A175" s="464"/>
      <c r="B175" s="465"/>
      <c r="C175" s="466"/>
      <c r="D175" s="466"/>
      <c r="E175" s="467"/>
      <c r="F175" s="467"/>
      <c r="G175" s="466"/>
      <c r="H175" s="466"/>
      <c r="I175" s="467"/>
    </row>
    <row r="176" spans="1:9" ht="13.5" customHeight="1" x14ac:dyDescent="0.2">
      <c r="A176" s="464"/>
      <c r="B176" s="465"/>
      <c r="C176" s="466"/>
      <c r="D176" s="466"/>
      <c r="E176" s="467"/>
      <c r="F176" s="467"/>
      <c r="G176" s="466"/>
      <c r="H176" s="636" t="s">
        <v>314</v>
      </c>
      <c r="I176" s="636"/>
    </row>
    <row r="177" spans="1:9" ht="12.75" customHeight="1" thickBot="1" x14ac:dyDescent="0.25">
      <c r="A177" s="464"/>
      <c r="B177" s="465"/>
      <c r="C177" s="466"/>
      <c r="D177" s="466"/>
      <c r="E177" s="467"/>
      <c r="F177" s="467"/>
      <c r="G177" s="466"/>
      <c r="I177" s="468" t="s">
        <v>260</v>
      </c>
    </row>
    <row r="178" spans="1:9" ht="28.9" customHeight="1" thickBot="1" x14ac:dyDescent="0.25">
      <c r="A178" s="642" t="s">
        <v>261</v>
      </c>
      <c r="B178" s="643" t="s">
        <v>106</v>
      </c>
      <c r="C178" s="644"/>
      <c r="D178" s="644"/>
      <c r="E178" s="645"/>
      <c r="F178" s="643" t="s">
        <v>108</v>
      </c>
      <c r="G178" s="644"/>
      <c r="H178" s="644"/>
      <c r="I178" s="645"/>
    </row>
    <row r="179" spans="1:9" ht="46.15" customHeight="1" thickBot="1" x14ac:dyDescent="0.25">
      <c r="A179" s="630"/>
      <c r="B179" s="300" t="s">
        <v>53</v>
      </c>
      <c r="C179" s="300" t="s">
        <v>264</v>
      </c>
      <c r="D179" s="301" t="s">
        <v>240</v>
      </c>
      <c r="E179" s="302" t="s">
        <v>238</v>
      </c>
      <c r="F179" s="300" t="s">
        <v>53</v>
      </c>
      <c r="G179" s="300" t="s">
        <v>264</v>
      </c>
      <c r="H179" s="301" t="s">
        <v>240</v>
      </c>
      <c r="I179" s="303" t="s">
        <v>238</v>
      </c>
    </row>
    <row r="180" spans="1:9" ht="20.100000000000001" customHeight="1" thickBot="1" x14ac:dyDescent="0.25">
      <c r="A180" s="420" t="s">
        <v>265</v>
      </c>
      <c r="B180" s="309">
        <f>SUM(B181:B185)</f>
        <v>86798</v>
      </c>
      <c r="C180" s="306">
        <f>SUM(C181:C185)</f>
        <v>71159</v>
      </c>
      <c r="D180" s="307">
        <f>SUM(D181:D185)</f>
        <v>79514.649999999994</v>
      </c>
      <c r="E180" s="310">
        <f t="shared" ref="E180:E215" si="27">D180/C180*100</f>
        <v>111.74222515774532</v>
      </c>
      <c r="F180" s="309">
        <f>SUM(F181:F185)</f>
        <v>111002</v>
      </c>
      <c r="G180" s="306">
        <f>SUM(G181:G185)</f>
        <v>84788</v>
      </c>
      <c r="H180" s="307">
        <f>SUM(H181:H185)</f>
        <v>84263.56</v>
      </c>
      <c r="I180" s="310">
        <f t="shared" ref="I180:I201" si="28">H180/G180*100</f>
        <v>99.381469075812618</v>
      </c>
    </row>
    <row r="181" spans="1:9" ht="15.75" customHeight="1" x14ac:dyDescent="0.2">
      <c r="A181" s="421" t="s">
        <v>266</v>
      </c>
      <c r="B181" s="346">
        <v>22000</v>
      </c>
      <c r="C181" s="350">
        <v>18500</v>
      </c>
      <c r="D181" s="348">
        <v>20921</v>
      </c>
      <c r="E181" s="351">
        <f t="shared" si="27"/>
        <v>113.08648648648649</v>
      </c>
      <c r="F181" s="346">
        <v>50000</v>
      </c>
      <c r="G181" s="350">
        <v>37000</v>
      </c>
      <c r="H181" s="348">
        <v>38326.449999999997</v>
      </c>
      <c r="I181" s="351">
        <f t="shared" si="28"/>
        <v>103.58499999999999</v>
      </c>
    </row>
    <row r="182" spans="1:9" ht="15.75" customHeight="1" x14ac:dyDescent="0.2">
      <c r="A182" s="421" t="s">
        <v>267</v>
      </c>
      <c r="B182" s="319">
        <v>29300</v>
      </c>
      <c r="C182" s="323">
        <v>21800</v>
      </c>
      <c r="D182" s="321">
        <v>18373.95</v>
      </c>
      <c r="E182" s="324">
        <f t="shared" si="27"/>
        <v>84.284174311926606</v>
      </c>
      <c r="F182" s="319">
        <v>36140</v>
      </c>
      <c r="G182" s="323">
        <v>15140</v>
      </c>
      <c r="H182" s="321">
        <v>18530.8</v>
      </c>
      <c r="I182" s="324">
        <f t="shared" si="28"/>
        <v>122.39630118890356</v>
      </c>
    </row>
    <row r="183" spans="1:9" ht="15.75" customHeight="1" x14ac:dyDescent="0.2">
      <c r="A183" s="422" t="s">
        <v>268</v>
      </c>
      <c r="B183" s="319">
        <v>18000</v>
      </c>
      <c r="C183" s="323">
        <v>12200</v>
      </c>
      <c r="D183" s="321">
        <v>17079.89</v>
      </c>
      <c r="E183" s="423">
        <f t="shared" si="27"/>
        <v>139.99909836065575</v>
      </c>
      <c r="F183" s="319">
        <v>7000</v>
      </c>
      <c r="G183" s="323">
        <v>6000</v>
      </c>
      <c r="H183" s="321">
        <v>5637.67</v>
      </c>
      <c r="I183" s="423">
        <f t="shared" si="28"/>
        <v>93.961166666666671</v>
      </c>
    </row>
    <row r="184" spans="1:9" ht="15.75" customHeight="1" x14ac:dyDescent="0.2">
      <c r="A184" s="421" t="s">
        <v>269</v>
      </c>
      <c r="B184" s="319">
        <v>17498</v>
      </c>
      <c r="C184" s="323">
        <v>17498</v>
      </c>
      <c r="D184" s="321">
        <v>20675.23</v>
      </c>
      <c r="E184" s="423">
        <f t="shared" si="27"/>
        <v>118.15767516287576</v>
      </c>
      <c r="F184" s="319">
        <v>13860</v>
      </c>
      <c r="G184" s="323">
        <v>13860</v>
      </c>
      <c r="H184" s="321">
        <v>8981.9699999999993</v>
      </c>
      <c r="I184" s="423">
        <f t="shared" si="28"/>
        <v>64.804978354978346</v>
      </c>
    </row>
    <row r="185" spans="1:9" ht="15.75" customHeight="1" thickBot="1" x14ac:dyDescent="0.25">
      <c r="A185" s="424" t="s">
        <v>270</v>
      </c>
      <c r="B185" s="334">
        <v>0</v>
      </c>
      <c r="C185" s="335">
        <v>1161</v>
      </c>
      <c r="D185" s="336">
        <f>1300+1160.54+4.04</f>
        <v>2464.58</v>
      </c>
      <c r="E185" s="425"/>
      <c r="F185" s="334">
        <v>4002</v>
      </c>
      <c r="G185" s="335">
        <v>12788</v>
      </c>
      <c r="H185" s="336">
        <f>4000+2000+1000+3952+0.05+309.87+1442.7+82.05</f>
        <v>12786.67</v>
      </c>
      <c r="I185" s="425">
        <f t="shared" si="28"/>
        <v>99.989599624648108</v>
      </c>
    </row>
    <row r="186" spans="1:9" ht="21" customHeight="1" thickBot="1" x14ac:dyDescent="0.25">
      <c r="A186" s="426" t="s">
        <v>271</v>
      </c>
      <c r="B186" s="309">
        <f>B190+B201+B202</f>
        <v>574366</v>
      </c>
      <c r="C186" s="306">
        <f>C190+C201+C202</f>
        <v>752379</v>
      </c>
      <c r="D186" s="307">
        <f>D190+D201+D202</f>
        <v>748495.66999999993</v>
      </c>
      <c r="E186" s="454">
        <f t="shared" si="27"/>
        <v>99.483859863180641</v>
      </c>
      <c r="F186" s="309">
        <f>F190+F201+F202</f>
        <v>1148605</v>
      </c>
      <c r="G186" s="306">
        <f>G190+G201+G202</f>
        <v>1296897</v>
      </c>
      <c r="H186" s="307">
        <f>H190+H201+H202</f>
        <v>1305218.3999999999</v>
      </c>
      <c r="I186" s="454">
        <f t="shared" si="28"/>
        <v>100.64163923580669</v>
      </c>
    </row>
    <row r="187" spans="1:9" ht="20.100000000000001" customHeight="1" x14ac:dyDescent="0.2">
      <c r="A187" s="421" t="s">
        <v>272</v>
      </c>
      <c r="B187" s="346">
        <v>494381</v>
      </c>
      <c r="C187" s="350">
        <v>585539</v>
      </c>
      <c r="D187" s="348">
        <v>585539</v>
      </c>
      <c r="E187" s="351">
        <f t="shared" si="27"/>
        <v>100</v>
      </c>
      <c r="F187" s="346">
        <v>986010</v>
      </c>
      <c r="G187" s="350">
        <v>1114727</v>
      </c>
      <c r="H187" s="348">
        <v>1114727</v>
      </c>
      <c r="I187" s="455">
        <f t="shared" si="28"/>
        <v>100</v>
      </c>
    </row>
    <row r="188" spans="1:9" ht="20.100000000000001" customHeight="1" x14ac:dyDescent="0.2">
      <c r="A188" s="427" t="s">
        <v>273</v>
      </c>
      <c r="B188" s="319">
        <v>79985</v>
      </c>
      <c r="C188" s="323">
        <v>113370</v>
      </c>
      <c r="D188" s="321">
        <v>93527.83</v>
      </c>
      <c r="E188" s="324">
        <f t="shared" si="27"/>
        <v>82.497865396489374</v>
      </c>
      <c r="F188" s="319">
        <v>162595</v>
      </c>
      <c r="G188" s="323">
        <v>131653</v>
      </c>
      <c r="H188" s="321">
        <v>104721.26</v>
      </c>
      <c r="I188" s="423">
        <f t="shared" si="28"/>
        <v>79.543390579781686</v>
      </c>
    </row>
    <row r="189" spans="1:9" ht="20.100000000000001" customHeight="1" thickBot="1" x14ac:dyDescent="0.25">
      <c r="A189" s="428" t="s">
        <v>307</v>
      </c>
      <c r="B189" s="334">
        <v>0</v>
      </c>
      <c r="C189" s="335">
        <v>0</v>
      </c>
      <c r="D189" s="336">
        <f>16042.84-84</f>
        <v>15958.84</v>
      </c>
      <c r="E189" s="338"/>
      <c r="F189" s="334">
        <v>0</v>
      </c>
      <c r="G189" s="335">
        <v>0</v>
      </c>
      <c r="H189" s="336">
        <f>35294.74-41.6</f>
        <v>35253.14</v>
      </c>
      <c r="I189" s="338"/>
    </row>
    <row r="190" spans="1:9" s="434" customFormat="1" ht="26.25" customHeight="1" thickBot="1" x14ac:dyDescent="0.25">
      <c r="A190" s="429" t="s">
        <v>308</v>
      </c>
      <c r="B190" s="309">
        <f>SUM(B187:B189)</f>
        <v>574366</v>
      </c>
      <c r="C190" s="306">
        <f>SUM(C187:C189)</f>
        <v>698909</v>
      </c>
      <c r="D190" s="307">
        <f>SUM(D187:D189)</f>
        <v>695025.66999999993</v>
      </c>
      <c r="E190" s="310">
        <f t="shared" si="27"/>
        <v>99.444372586416819</v>
      </c>
      <c r="F190" s="309">
        <f>SUM(F187:F189)</f>
        <v>1148605</v>
      </c>
      <c r="G190" s="306">
        <f>SUM(G187:G189)</f>
        <v>1246380</v>
      </c>
      <c r="H190" s="307">
        <f>SUM(H187:H189)</f>
        <v>1254701.3999999999</v>
      </c>
      <c r="I190" s="310">
        <f t="shared" si="28"/>
        <v>100.66764550137196</v>
      </c>
    </row>
    <row r="191" spans="1:9" ht="15.75" customHeight="1" x14ac:dyDescent="0.2">
      <c r="A191" s="469" t="s">
        <v>276</v>
      </c>
      <c r="B191" s="346">
        <v>0</v>
      </c>
      <c r="C191" s="350">
        <v>7898</v>
      </c>
      <c r="D191" s="348">
        <v>7898</v>
      </c>
      <c r="E191" s="351">
        <f t="shared" si="27"/>
        <v>100</v>
      </c>
      <c r="F191" s="346">
        <v>0</v>
      </c>
      <c r="G191" s="350">
        <v>17395</v>
      </c>
      <c r="H191" s="348">
        <v>17395</v>
      </c>
      <c r="I191" s="351">
        <f t="shared" si="28"/>
        <v>100</v>
      </c>
    </row>
    <row r="192" spans="1:9" ht="15.75" customHeight="1" x14ac:dyDescent="0.2">
      <c r="A192" s="422" t="s">
        <v>309</v>
      </c>
      <c r="B192" s="319">
        <v>0</v>
      </c>
      <c r="C192" s="323">
        <v>12094</v>
      </c>
      <c r="D192" s="321">
        <v>12094</v>
      </c>
      <c r="E192" s="324">
        <f t="shared" si="27"/>
        <v>100</v>
      </c>
      <c r="F192" s="319">
        <v>0</v>
      </c>
      <c r="G192" s="323">
        <v>3125</v>
      </c>
      <c r="H192" s="321">
        <v>3125</v>
      </c>
      <c r="I192" s="324">
        <f t="shared" si="28"/>
        <v>100</v>
      </c>
    </row>
    <row r="193" spans="1:9" ht="15.75" customHeight="1" x14ac:dyDescent="0.2">
      <c r="A193" s="422" t="s">
        <v>278</v>
      </c>
      <c r="B193" s="319">
        <v>0</v>
      </c>
      <c r="C193" s="323">
        <v>21702</v>
      </c>
      <c r="D193" s="321">
        <v>21702</v>
      </c>
      <c r="E193" s="324">
        <f t="shared" si="27"/>
        <v>100</v>
      </c>
      <c r="F193" s="319">
        <v>0</v>
      </c>
      <c r="G193" s="323">
        <v>7681</v>
      </c>
      <c r="H193" s="321">
        <v>7681</v>
      </c>
      <c r="I193" s="324">
        <f t="shared" si="28"/>
        <v>100</v>
      </c>
    </row>
    <row r="194" spans="1:9" ht="15.75" customHeight="1" x14ac:dyDescent="0.2">
      <c r="A194" s="422" t="s">
        <v>279</v>
      </c>
      <c r="B194" s="319">
        <v>0</v>
      </c>
      <c r="C194" s="323">
        <v>0</v>
      </c>
      <c r="D194" s="321">
        <v>0</v>
      </c>
      <c r="E194" s="324"/>
      <c r="F194" s="319">
        <v>0</v>
      </c>
      <c r="G194" s="323">
        <v>0</v>
      </c>
      <c r="H194" s="321">
        <v>0</v>
      </c>
      <c r="I194" s="324"/>
    </row>
    <row r="195" spans="1:9" ht="15.75" customHeight="1" x14ac:dyDescent="0.2">
      <c r="A195" s="431" t="s">
        <v>280</v>
      </c>
      <c r="B195" s="319">
        <v>0</v>
      </c>
      <c r="C195" s="323">
        <v>0</v>
      </c>
      <c r="D195" s="321">
        <v>0</v>
      </c>
      <c r="E195" s="324"/>
      <c r="F195" s="319">
        <v>0</v>
      </c>
      <c r="G195" s="323">
        <v>0</v>
      </c>
      <c r="H195" s="321">
        <v>0</v>
      </c>
      <c r="I195" s="324"/>
    </row>
    <row r="196" spans="1:9" ht="15.75" customHeight="1" x14ac:dyDescent="0.2">
      <c r="A196" s="431" t="s">
        <v>281</v>
      </c>
      <c r="B196" s="319">
        <v>0</v>
      </c>
      <c r="C196" s="323">
        <v>9776</v>
      </c>
      <c r="D196" s="321">
        <v>9776</v>
      </c>
      <c r="E196" s="324">
        <f t="shared" si="27"/>
        <v>100</v>
      </c>
      <c r="F196" s="319">
        <v>0</v>
      </c>
      <c r="G196" s="323">
        <v>18364</v>
      </c>
      <c r="H196" s="321">
        <v>18364</v>
      </c>
      <c r="I196" s="324">
        <f t="shared" si="28"/>
        <v>100</v>
      </c>
    </row>
    <row r="197" spans="1:9" ht="15.75" customHeight="1" x14ac:dyDescent="0.2">
      <c r="A197" s="431" t="s">
        <v>282</v>
      </c>
      <c r="B197" s="319">
        <v>0</v>
      </c>
      <c r="C197" s="323">
        <v>0</v>
      </c>
      <c r="D197" s="321">
        <v>0</v>
      </c>
      <c r="E197" s="324"/>
      <c r="F197" s="319">
        <v>0</v>
      </c>
      <c r="G197" s="323">
        <v>0</v>
      </c>
      <c r="H197" s="321">
        <v>0</v>
      </c>
      <c r="I197" s="324"/>
    </row>
    <row r="198" spans="1:9" ht="15.75" customHeight="1" x14ac:dyDescent="0.2">
      <c r="A198" s="431" t="s">
        <v>283</v>
      </c>
      <c r="B198" s="319">
        <v>0</v>
      </c>
      <c r="C198" s="323">
        <v>2000</v>
      </c>
      <c r="D198" s="321">
        <v>2000</v>
      </c>
      <c r="E198" s="324">
        <f t="shared" si="27"/>
        <v>100</v>
      </c>
      <c r="F198" s="319">
        <v>0</v>
      </c>
      <c r="G198" s="323">
        <v>0</v>
      </c>
      <c r="H198" s="321">
        <v>0</v>
      </c>
      <c r="I198" s="324"/>
    </row>
    <row r="199" spans="1:9" ht="15.75" customHeight="1" x14ac:dyDescent="0.2">
      <c r="A199" s="431" t="s">
        <v>284</v>
      </c>
      <c r="B199" s="319">
        <v>0</v>
      </c>
      <c r="C199" s="323">
        <v>0</v>
      </c>
      <c r="D199" s="321">
        <v>0</v>
      </c>
      <c r="E199" s="324"/>
      <c r="F199" s="319">
        <v>0</v>
      </c>
      <c r="G199" s="323">
        <v>0</v>
      </c>
      <c r="H199" s="321">
        <v>0</v>
      </c>
      <c r="I199" s="324"/>
    </row>
    <row r="200" spans="1:9" ht="15.75" customHeight="1" thickBot="1" x14ac:dyDescent="0.25">
      <c r="A200" s="432" t="s">
        <v>285</v>
      </c>
      <c r="B200" s="334">
        <v>0</v>
      </c>
      <c r="C200" s="335">
        <v>0</v>
      </c>
      <c r="D200" s="336">
        <v>0</v>
      </c>
      <c r="E200" s="338"/>
      <c r="F200" s="334">
        <v>0</v>
      </c>
      <c r="G200" s="335">
        <v>0</v>
      </c>
      <c r="H200" s="336">
        <v>0</v>
      </c>
      <c r="I200" s="338"/>
    </row>
    <row r="201" spans="1:9" s="434" customFormat="1" ht="19.899999999999999" customHeight="1" thickBot="1" x14ac:dyDescent="0.25">
      <c r="A201" s="420" t="s">
        <v>310</v>
      </c>
      <c r="B201" s="359">
        <f>SUM(B191:B200)</f>
        <v>0</v>
      </c>
      <c r="C201" s="366">
        <f>SUM(C191:C200)</f>
        <v>53470</v>
      </c>
      <c r="D201" s="365">
        <f>SUM(D191:D200)</f>
        <v>53470</v>
      </c>
      <c r="E201" s="433">
        <f t="shared" si="27"/>
        <v>100</v>
      </c>
      <c r="F201" s="359">
        <f>SUM(F191:F200)</f>
        <v>0</v>
      </c>
      <c r="G201" s="366">
        <f>SUM(G191:G200)</f>
        <v>46565</v>
      </c>
      <c r="H201" s="365">
        <f>SUM(H191:H200)</f>
        <v>46565</v>
      </c>
      <c r="I201" s="433">
        <f t="shared" si="28"/>
        <v>100</v>
      </c>
    </row>
    <row r="202" spans="1:9" s="434" customFormat="1" ht="19.149999999999999" customHeight="1" thickBot="1" x14ac:dyDescent="0.25">
      <c r="A202" s="420" t="s">
        <v>311</v>
      </c>
      <c r="B202" s="359">
        <v>0</v>
      </c>
      <c r="C202" s="366">
        <v>0</v>
      </c>
      <c r="D202" s="365">
        <v>0</v>
      </c>
      <c r="E202" s="433"/>
      <c r="F202" s="359">
        <v>0</v>
      </c>
      <c r="G202" s="366">
        <v>3952</v>
      </c>
      <c r="H202" s="365">
        <v>3952</v>
      </c>
      <c r="I202" s="364"/>
    </row>
    <row r="203" spans="1:9" ht="24.75" customHeight="1" thickBot="1" x14ac:dyDescent="0.25">
      <c r="A203" s="426" t="s">
        <v>288</v>
      </c>
      <c r="B203" s="309">
        <f>SUM(B204:B208)</f>
        <v>247963</v>
      </c>
      <c r="C203" s="306">
        <f>SUM(C204:C208)</f>
        <v>282492</v>
      </c>
      <c r="D203" s="307">
        <f>SUM(D204:D208)</f>
        <v>279831.92</v>
      </c>
      <c r="E203" s="384">
        <f t="shared" si="27"/>
        <v>99.058352094926576</v>
      </c>
      <c r="F203" s="309">
        <f>SUM(F204:F208)</f>
        <v>359953</v>
      </c>
      <c r="G203" s="306">
        <f>SUM(G204:G208)</f>
        <v>397639</v>
      </c>
      <c r="H203" s="307">
        <f>SUM(H204:H208)</f>
        <v>397611.19</v>
      </c>
      <c r="I203" s="310">
        <f t="shared" ref="I203:I218" si="29">H203/G203*100</f>
        <v>99.99300621920888</v>
      </c>
    </row>
    <row r="204" spans="1:9" ht="16.5" customHeight="1" x14ac:dyDescent="0.2">
      <c r="A204" s="435" t="s">
        <v>289</v>
      </c>
      <c r="B204" s="346">
        <v>0</v>
      </c>
      <c r="C204" s="350">
        <v>24224</v>
      </c>
      <c r="D204" s="348">
        <v>24223.68</v>
      </c>
      <c r="E204" s="324">
        <f t="shared" si="27"/>
        <v>99.998678996037</v>
      </c>
      <c r="F204" s="346">
        <v>0</v>
      </c>
      <c r="G204" s="350">
        <v>6240</v>
      </c>
      <c r="H204" s="348">
        <v>6240</v>
      </c>
      <c r="I204" s="324">
        <f t="shared" si="29"/>
        <v>100</v>
      </c>
    </row>
    <row r="205" spans="1:9" ht="15.75" customHeight="1" x14ac:dyDescent="0.2">
      <c r="A205" s="436" t="s">
        <v>290</v>
      </c>
      <c r="B205" s="319">
        <v>117498</v>
      </c>
      <c r="C205" s="323">
        <v>118982</v>
      </c>
      <c r="D205" s="321">
        <v>118982</v>
      </c>
      <c r="E205" s="324">
        <f t="shared" si="27"/>
        <v>100</v>
      </c>
      <c r="F205" s="319">
        <v>98276</v>
      </c>
      <c r="G205" s="323">
        <v>98276</v>
      </c>
      <c r="H205" s="321">
        <v>98276</v>
      </c>
      <c r="I205" s="324">
        <f t="shared" si="29"/>
        <v>100</v>
      </c>
    </row>
    <row r="206" spans="1:9" ht="15.75" customHeight="1" x14ac:dyDescent="0.2">
      <c r="A206" s="437" t="s">
        <v>291</v>
      </c>
      <c r="B206" s="319">
        <v>15400</v>
      </c>
      <c r="C206" s="323">
        <v>15400</v>
      </c>
      <c r="D206" s="321">
        <v>13063.64</v>
      </c>
      <c r="E206" s="324">
        <f t="shared" si="27"/>
        <v>84.828831168831158</v>
      </c>
      <c r="F206" s="319">
        <v>22400</v>
      </c>
      <c r="G206" s="323">
        <v>22400</v>
      </c>
      <c r="H206" s="321">
        <v>22400</v>
      </c>
      <c r="I206" s="324">
        <f t="shared" si="29"/>
        <v>100</v>
      </c>
    </row>
    <row r="207" spans="1:9" ht="15.75" customHeight="1" x14ac:dyDescent="0.2">
      <c r="A207" s="437" t="s">
        <v>292</v>
      </c>
      <c r="B207" s="319">
        <v>111065</v>
      </c>
      <c r="C207" s="323">
        <v>119886</v>
      </c>
      <c r="D207" s="321">
        <v>119886</v>
      </c>
      <c r="E207" s="324">
        <f t="shared" si="27"/>
        <v>100</v>
      </c>
      <c r="F207" s="319">
        <v>224877</v>
      </c>
      <c r="G207" s="323">
        <v>256323</v>
      </c>
      <c r="H207" s="321">
        <v>256323</v>
      </c>
      <c r="I207" s="324">
        <f t="shared" si="29"/>
        <v>100</v>
      </c>
    </row>
    <row r="208" spans="1:9" ht="15.75" customHeight="1" thickBot="1" x14ac:dyDescent="0.25">
      <c r="A208" s="438" t="s">
        <v>293</v>
      </c>
      <c r="B208" s="334">
        <v>4000</v>
      </c>
      <c r="C208" s="335">
        <v>4000</v>
      </c>
      <c r="D208" s="336">
        <v>3676.6</v>
      </c>
      <c r="E208" s="338">
        <f t="shared" si="27"/>
        <v>91.915000000000006</v>
      </c>
      <c r="F208" s="334">
        <v>14400</v>
      </c>
      <c r="G208" s="335">
        <v>14400</v>
      </c>
      <c r="H208" s="336">
        <v>14372.19</v>
      </c>
      <c r="I208" s="338">
        <f t="shared" si="29"/>
        <v>99.806875000000005</v>
      </c>
    </row>
    <row r="209" spans="1:9" s="378" customFormat="1" ht="16.5" customHeight="1" thickBot="1" x14ac:dyDescent="0.25">
      <c r="A209" s="439" t="s">
        <v>294</v>
      </c>
      <c r="B209" s="372">
        <v>17498</v>
      </c>
      <c r="C209" s="376">
        <v>17498</v>
      </c>
      <c r="D209" s="374">
        <v>21561.17</v>
      </c>
      <c r="E209" s="377">
        <f t="shared" si="27"/>
        <v>123.22076808778144</v>
      </c>
      <c r="F209" s="372">
        <v>13860</v>
      </c>
      <c r="G209" s="376">
        <v>13860</v>
      </c>
      <c r="H209" s="374">
        <v>14682.25</v>
      </c>
      <c r="I209" s="377">
        <f t="shared" si="29"/>
        <v>105.93253968253968</v>
      </c>
    </row>
    <row r="210" spans="1:9" s="378" customFormat="1" ht="16.5" customHeight="1" thickBot="1" x14ac:dyDescent="0.25">
      <c r="A210" s="439" t="s">
        <v>295</v>
      </c>
      <c r="B210" s="372">
        <v>53000</v>
      </c>
      <c r="C210" s="376">
        <v>53000</v>
      </c>
      <c r="D210" s="374">
        <v>22710</v>
      </c>
      <c r="E210" s="377">
        <f t="shared" si="27"/>
        <v>42.849056603773583</v>
      </c>
      <c r="F210" s="372">
        <v>98360</v>
      </c>
      <c r="G210" s="376">
        <v>98360</v>
      </c>
      <c r="H210" s="374">
        <v>46273.2</v>
      </c>
      <c r="I210" s="377">
        <f t="shared" si="29"/>
        <v>47.044733631557541</v>
      </c>
    </row>
    <row r="211" spans="1:9" s="378" customFormat="1" ht="16.5" customHeight="1" thickBot="1" x14ac:dyDescent="0.25">
      <c r="A211" s="439" t="s">
        <v>296</v>
      </c>
      <c r="B211" s="372">
        <v>0</v>
      </c>
      <c r="C211" s="376">
        <v>0</v>
      </c>
      <c r="D211" s="374">
        <v>84</v>
      </c>
      <c r="E211" s="377"/>
      <c r="F211" s="372">
        <v>0</v>
      </c>
      <c r="G211" s="376">
        <v>0</v>
      </c>
      <c r="H211" s="374">
        <v>41.6</v>
      </c>
      <c r="I211" s="377"/>
    </row>
    <row r="212" spans="1:9" ht="18.600000000000001" customHeight="1" thickBot="1" x14ac:dyDescent="0.25">
      <c r="A212" s="429" t="s">
        <v>297</v>
      </c>
      <c r="B212" s="309">
        <f t="shared" ref="B212" si="30">SUM(B213:B214)</f>
        <v>0</v>
      </c>
      <c r="C212" s="306">
        <f t="shared" ref="C212:D212" si="31">SUM(C213:C214)</f>
        <v>0</v>
      </c>
      <c r="D212" s="307">
        <f t="shared" si="31"/>
        <v>1300</v>
      </c>
      <c r="E212" s="384"/>
      <c r="F212" s="309">
        <f t="shared" ref="F212:H212" si="32">SUM(F213:F214)</f>
        <v>0</v>
      </c>
      <c r="G212" s="306">
        <f t="shared" si="32"/>
        <v>3000</v>
      </c>
      <c r="H212" s="307">
        <f t="shared" si="32"/>
        <v>3000</v>
      </c>
      <c r="I212" s="310">
        <f t="shared" si="29"/>
        <v>100</v>
      </c>
    </row>
    <row r="213" spans="1:9" ht="15" customHeight="1" thickBot="1" x14ac:dyDescent="0.25">
      <c r="A213" s="389" t="s">
        <v>298</v>
      </c>
      <c r="B213" s="346">
        <v>0</v>
      </c>
      <c r="C213" s="350">
        <v>0</v>
      </c>
      <c r="D213" s="348">
        <v>1300</v>
      </c>
      <c r="E213" s="351"/>
      <c r="F213" s="346">
        <v>0</v>
      </c>
      <c r="G213" s="350">
        <v>3000</v>
      </c>
      <c r="H213" s="348">
        <v>3000</v>
      </c>
      <c r="I213" s="324">
        <f t="shared" si="29"/>
        <v>100</v>
      </c>
    </row>
    <row r="214" spans="1:9" ht="15" customHeight="1" thickBot="1" x14ac:dyDescent="0.25">
      <c r="A214" s="396" t="s">
        <v>299</v>
      </c>
      <c r="B214" s="334">
        <v>0</v>
      </c>
      <c r="C214" s="335">
        <v>0</v>
      </c>
      <c r="D214" s="336">
        <v>0</v>
      </c>
      <c r="E214" s="338"/>
      <c r="F214" s="334">
        <v>0</v>
      </c>
      <c r="G214" s="335">
        <v>0</v>
      </c>
      <c r="H214" s="336">
        <v>0</v>
      </c>
      <c r="I214" s="460"/>
    </row>
    <row r="215" spans="1:9" ht="25.15" customHeight="1" thickBot="1" x14ac:dyDescent="0.25">
      <c r="A215" s="420" t="s">
        <v>300</v>
      </c>
      <c r="B215" s="309">
        <f>B186+B203+B212+B209+B210</f>
        <v>892827</v>
      </c>
      <c r="C215" s="306">
        <f t="shared" ref="C215:G215" si="33">C186+C203+C212+C209+C210</f>
        <v>1105369</v>
      </c>
      <c r="D215" s="409">
        <f>D186+D203+D212+D209+D210+D211</f>
        <v>1073982.7599999998</v>
      </c>
      <c r="E215" s="384">
        <f t="shared" si="27"/>
        <v>97.160564481182277</v>
      </c>
      <c r="F215" s="309">
        <f t="shared" si="33"/>
        <v>1620778</v>
      </c>
      <c r="G215" s="306">
        <f t="shared" si="33"/>
        <v>1809756</v>
      </c>
      <c r="H215" s="409">
        <f>H186+H203+H212+H209+H210+H211</f>
        <v>1766826.64</v>
      </c>
      <c r="I215" s="310">
        <f t="shared" si="29"/>
        <v>97.627892378862114</v>
      </c>
    </row>
    <row r="216" spans="1:9" ht="15.75" customHeight="1" x14ac:dyDescent="0.2">
      <c r="A216" s="442" t="s">
        <v>301</v>
      </c>
      <c r="B216" s="346">
        <v>0</v>
      </c>
      <c r="C216" s="411">
        <v>0</v>
      </c>
      <c r="D216" s="412">
        <v>0</v>
      </c>
      <c r="E216" s="351"/>
      <c r="F216" s="346">
        <v>0</v>
      </c>
      <c r="G216" s="411">
        <v>0</v>
      </c>
      <c r="H216" s="412">
        <v>0</v>
      </c>
      <c r="I216" s="470"/>
    </row>
    <row r="217" spans="1:9" ht="17.25" customHeight="1" thickBot="1" x14ac:dyDescent="0.25">
      <c r="A217" s="443" t="s">
        <v>302</v>
      </c>
      <c r="B217" s="334">
        <v>0</v>
      </c>
      <c r="C217" s="400">
        <v>0</v>
      </c>
      <c r="D217" s="401">
        <v>0</v>
      </c>
      <c r="E217" s="338"/>
      <c r="F217" s="334">
        <v>0</v>
      </c>
      <c r="G217" s="400">
        <v>0</v>
      </c>
      <c r="H217" s="401">
        <v>0</v>
      </c>
      <c r="I217" s="460"/>
    </row>
    <row r="218" spans="1:9" ht="24" customHeight="1" thickBot="1" x14ac:dyDescent="0.25">
      <c r="A218" s="444" t="s">
        <v>303</v>
      </c>
      <c r="B218" s="407">
        <f>SUM(B215:B216)</f>
        <v>892827</v>
      </c>
      <c r="C218" s="408">
        <f t="shared" ref="C218:D218" si="34">SUM(C215:C216)</f>
        <v>1105369</v>
      </c>
      <c r="D218" s="409">
        <f t="shared" si="34"/>
        <v>1073982.7599999998</v>
      </c>
      <c r="E218" s="310">
        <f>D218/C218*100</f>
        <v>97.160564481182277</v>
      </c>
      <c r="F218" s="407">
        <f>SUM(F215:F217)</f>
        <v>1620778</v>
      </c>
      <c r="G218" s="408">
        <f t="shared" ref="G218:H218" si="35">SUM(G215:G217)</f>
        <v>1809756</v>
      </c>
      <c r="H218" s="409">
        <f t="shared" si="35"/>
        <v>1766826.64</v>
      </c>
      <c r="I218" s="310">
        <f t="shared" si="29"/>
        <v>97.627892378862114</v>
      </c>
    </row>
    <row r="219" spans="1:9" ht="26.25" customHeight="1" x14ac:dyDescent="0.2">
      <c r="A219" s="416"/>
      <c r="B219" s="417"/>
      <c r="C219" s="417"/>
      <c r="D219" s="417"/>
      <c r="E219" s="418"/>
      <c r="F219" s="417"/>
      <c r="G219" s="417"/>
      <c r="H219" s="417"/>
      <c r="I219" s="418"/>
    </row>
    <row r="220" spans="1:9" ht="19.5" customHeight="1" x14ac:dyDescent="0.2">
      <c r="A220" s="416"/>
      <c r="B220" s="417"/>
      <c r="C220" s="417"/>
      <c r="D220" s="417"/>
      <c r="E220" s="418"/>
      <c r="F220" s="417"/>
      <c r="G220" s="417"/>
      <c r="H220" s="417"/>
      <c r="I220" s="418"/>
    </row>
    <row r="221" spans="1:9" ht="19.149999999999999" customHeight="1" x14ac:dyDescent="0.2">
      <c r="A221" s="416"/>
      <c r="B221" s="417"/>
      <c r="C221" s="417"/>
      <c r="D221" s="417"/>
      <c r="E221" s="418"/>
      <c r="F221" s="417"/>
      <c r="G221" s="417"/>
      <c r="H221" s="417"/>
      <c r="I221" s="418"/>
    </row>
    <row r="222" spans="1:9" ht="12" customHeight="1" x14ac:dyDescent="0.2">
      <c r="A222" s="416"/>
      <c r="B222" s="417"/>
      <c r="C222" s="417"/>
      <c r="D222" s="417"/>
      <c r="E222" s="418"/>
      <c r="F222" s="417"/>
      <c r="G222" s="417"/>
      <c r="H222" s="417"/>
      <c r="I222" s="418"/>
    </row>
    <row r="223" spans="1:9" ht="12" customHeight="1" x14ac:dyDescent="0.2">
      <c r="A223" s="416"/>
      <c r="B223" s="417"/>
      <c r="C223" s="417"/>
      <c r="D223" s="417"/>
      <c r="E223" s="418"/>
      <c r="F223" s="417"/>
      <c r="G223" s="417"/>
      <c r="H223" s="417"/>
      <c r="I223" s="418"/>
    </row>
    <row r="224" spans="1:9" ht="19.5" customHeight="1" x14ac:dyDescent="0.2">
      <c r="A224" s="416"/>
      <c r="B224" s="417"/>
      <c r="C224" s="417"/>
      <c r="D224" s="417"/>
      <c r="E224" s="418"/>
      <c r="F224" s="417"/>
      <c r="G224" s="417"/>
      <c r="H224" s="417"/>
      <c r="I224" s="418"/>
    </row>
    <row r="225" spans="1:9" ht="19.5" customHeight="1" x14ac:dyDescent="0.2">
      <c r="A225" s="416"/>
      <c r="B225" s="417"/>
      <c r="C225" s="417"/>
      <c r="D225" s="417"/>
      <c r="E225" s="418"/>
      <c r="F225" s="417"/>
      <c r="G225" s="417"/>
      <c r="H225" s="417"/>
      <c r="I225" s="418"/>
    </row>
    <row r="226" spans="1:9" ht="12.6" customHeight="1" x14ac:dyDescent="0.2">
      <c r="A226" s="416"/>
      <c r="B226" s="417"/>
      <c r="C226" s="417"/>
      <c r="D226" s="417"/>
      <c r="E226" s="418"/>
      <c r="F226" s="417"/>
      <c r="G226" s="417"/>
      <c r="H226" s="417"/>
      <c r="I226" s="418"/>
    </row>
    <row r="227" spans="1:9" ht="12" customHeight="1" x14ac:dyDescent="0.2">
      <c r="A227" s="464"/>
      <c r="B227" s="464"/>
      <c r="C227" s="464"/>
      <c r="D227" s="464"/>
      <c r="E227" s="464"/>
      <c r="F227" s="464"/>
      <c r="G227" s="464"/>
      <c r="H227" s="464"/>
      <c r="I227" s="464"/>
    </row>
    <row r="228" spans="1:9" ht="15" customHeight="1" x14ac:dyDescent="0.2">
      <c r="H228" s="636" t="s">
        <v>315</v>
      </c>
      <c r="I228" s="636"/>
    </row>
    <row r="229" spans="1:9" ht="13.5" customHeight="1" thickBot="1" x14ac:dyDescent="0.25">
      <c r="A229" s="293"/>
      <c r="I229" s="468" t="s">
        <v>260</v>
      </c>
    </row>
    <row r="230" spans="1:9" ht="26.45" customHeight="1" thickBot="1" x14ac:dyDescent="0.25">
      <c r="A230" s="629" t="s">
        <v>261</v>
      </c>
      <c r="B230" s="631" t="s">
        <v>316</v>
      </c>
      <c r="C230" s="632"/>
      <c r="D230" s="632"/>
      <c r="E230" s="633"/>
      <c r="F230" s="634" t="s">
        <v>317</v>
      </c>
      <c r="G230" s="632"/>
      <c r="H230" s="632"/>
      <c r="I230" s="637"/>
    </row>
    <row r="231" spans="1:9" ht="40.9" customHeight="1" thickBot="1" x14ac:dyDescent="0.25">
      <c r="A231" s="630"/>
      <c r="B231" s="300" t="s">
        <v>53</v>
      </c>
      <c r="C231" s="300" t="s">
        <v>264</v>
      </c>
      <c r="D231" s="301" t="s">
        <v>240</v>
      </c>
      <c r="E231" s="302" t="s">
        <v>238</v>
      </c>
      <c r="F231" s="300" t="s">
        <v>53</v>
      </c>
      <c r="G231" s="300" t="s">
        <v>264</v>
      </c>
      <c r="H231" s="301" t="s">
        <v>240</v>
      </c>
      <c r="I231" s="303" t="s">
        <v>238</v>
      </c>
    </row>
    <row r="232" spans="1:9" ht="24.95" customHeight="1" thickBot="1" x14ac:dyDescent="0.25">
      <c r="A232" s="420" t="s">
        <v>265</v>
      </c>
      <c r="B232" s="309">
        <f>SUM(B233:B237)</f>
        <v>74364</v>
      </c>
      <c r="C232" s="306">
        <f>SUM(C233:C237)</f>
        <v>53679</v>
      </c>
      <c r="D232" s="307">
        <f>SUM(D233:D237)</f>
        <v>50403.03</v>
      </c>
      <c r="E232" s="310">
        <f t="shared" ref="E232:E249" si="36">D232/C232*100</f>
        <v>93.897110601911365</v>
      </c>
      <c r="F232" s="309">
        <f>SUM(F233:F237)</f>
        <v>109627</v>
      </c>
      <c r="G232" s="306">
        <f>SUM(G233:G237)</f>
        <v>84459</v>
      </c>
      <c r="H232" s="307">
        <f>SUM(H233:H237)</f>
        <v>109058.93</v>
      </c>
      <c r="I232" s="310">
        <f>H232/G232*100</f>
        <v>129.12647556802708</v>
      </c>
    </row>
    <row r="233" spans="1:9" ht="15.75" customHeight="1" x14ac:dyDescent="0.2">
      <c r="A233" s="421" t="s">
        <v>266</v>
      </c>
      <c r="B233" s="346">
        <v>26070</v>
      </c>
      <c r="C233" s="350">
        <v>14700</v>
      </c>
      <c r="D233" s="348">
        <v>15546.8</v>
      </c>
      <c r="E233" s="351">
        <f t="shared" si="36"/>
        <v>105.76054421768708</v>
      </c>
      <c r="F233" s="346">
        <v>48000</v>
      </c>
      <c r="G233" s="350">
        <v>30000</v>
      </c>
      <c r="H233" s="348">
        <v>35507</v>
      </c>
      <c r="I233" s="351">
        <f>H233/G233*100</f>
        <v>118.35666666666667</v>
      </c>
    </row>
    <row r="234" spans="1:9" ht="15.75" customHeight="1" x14ac:dyDescent="0.2">
      <c r="A234" s="421" t="s">
        <v>267</v>
      </c>
      <c r="B234" s="319">
        <v>18412</v>
      </c>
      <c r="C234" s="323">
        <v>8078</v>
      </c>
      <c r="D234" s="321">
        <v>8237.64</v>
      </c>
      <c r="E234" s="324">
        <f t="shared" si="36"/>
        <v>101.97623174052983</v>
      </c>
      <c r="F234" s="319">
        <v>38737</v>
      </c>
      <c r="G234" s="323">
        <v>28737</v>
      </c>
      <c r="H234" s="321">
        <v>25899.599999999999</v>
      </c>
      <c r="I234" s="324">
        <f>H234/G234*100</f>
        <v>90.126317987263803</v>
      </c>
    </row>
    <row r="235" spans="1:9" ht="15.75" customHeight="1" x14ac:dyDescent="0.2">
      <c r="A235" s="422" t="s">
        <v>268</v>
      </c>
      <c r="B235" s="319">
        <v>12949</v>
      </c>
      <c r="C235" s="323">
        <v>12700</v>
      </c>
      <c r="D235" s="321">
        <v>10608.74</v>
      </c>
      <c r="E235" s="423">
        <f t="shared" si="36"/>
        <v>83.533385826771649</v>
      </c>
      <c r="F235" s="319">
        <v>5696</v>
      </c>
      <c r="G235" s="323">
        <v>5696</v>
      </c>
      <c r="H235" s="321">
        <v>6164.91</v>
      </c>
      <c r="I235" s="423">
        <f>H235/G235*100</f>
        <v>108.23226825842696</v>
      </c>
    </row>
    <row r="236" spans="1:9" ht="15.75" customHeight="1" x14ac:dyDescent="0.2">
      <c r="A236" s="421" t="s">
        <v>269</v>
      </c>
      <c r="B236" s="319">
        <v>16893</v>
      </c>
      <c r="C236" s="323">
        <v>16893</v>
      </c>
      <c r="D236" s="321">
        <v>12793.83</v>
      </c>
      <c r="E236" s="423">
        <f t="shared" si="36"/>
        <v>75.734505416444691</v>
      </c>
      <c r="F236" s="319">
        <v>17194</v>
      </c>
      <c r="G236" s="323">
        <v>17194</v>
      </c>
      <c r="H236" s="321">
        <v>35870.480000000003</v>
      </c>
      <c r="I236" s="423">
        <f t="shared" ref="I236:I270" si="37">H236/G236*100</f>
        <v>208.6220774688845</v>
      </c>
    </row>
    <row r="237" spans="1:9" ht="15.75" customHeight="1" thickBot="1" x14ac:dyDescent="0.25">
      <c r="A237" s="424" t="s">
        <v>270</v>
      </c>
      <c r="B237" s="334">
        <v>40</v>
      </c>
      <c r="C237" s="335">
        <v>1308</v>
      </c>
      <c r="D237" s="336">
        <f>400+500+510.24+513+1288.34+4.44</f>
        <v>3216.02</v>
      </c>
      <c r="E237" s="425">
        <f t="shared" si="36"/>
        <v>245.87308868501529</v>
      </c>
      <c r="F237" s="334">
        <v>0</v>
      </c>
      <c r="G237" s="335">
        <v>2832</v>
      </c>
      <c r="H237" s="336">
        <f>250+300+850+350+1010.4+18.2+2831.14+7.2</f>
        <v>5616.94</v>
      </c>
      <c r="I237" s="425">
        <f t="shared" si="37"/>
        <v>198.33827683615817</v>
      </c>
    </row>
    <row r="238" spans="1:9" ht="24" customHeight="1" thickBot="1" x14ac:dyDescent="0.25">
      <c r="A238" s="426" t="s">
        <v>271</v>
      </c>
      <c r="B238" s="309">
        <f>B242+B253+B254</f>
        <v>670291</v>
      </c>
      <c r="C238" s="306">
        <f>C242+C253+C254</f>
        <v>862652</v>
      </c>
      <c r="D238" s="307">
        <f>D242+D253+D254</f>
        <v>889650.66999999993</v>
      </c>
      <c r="E238" s="454">
        <f t="shared" si="36"/>
        <v>103.12972902166806</v>
      </c>
      <c r="F238" s="309">
        <f>F242+F253+F254</f>
        <v>1097745</v>
      </c>
      <c r="G238" s="306">
        <f>G242+G253+G254</f>
        <v>1257095</v>
      </c>
      <c r="H238" s="307">
        <f>H242+H253+H254</f>
        <v>1250113.3</v>
      </c>
      <c r="I238" s="454">
        <f t="shared" si="37"/>
        <v>99.444616357554523</v>
      </c>
    </row>
    <row r="239" spans="1:9" ht="21.75" customHeight="1" x14ac:dyDescent="0.2">
      <c r="A239" s="421" t="s">
        <v>272</v>
      </c>
      <c r="B239" s="346">
        <v>595547</v>
      </c>
      <c r="C239" s="350">
        <v>698114</v>
      </c>
      <c r="D239" s="348">
        <v>698114</v>
      </c>
      <c r="E239" s="455">
        <f t="shared" si="36"/>
        <v>100</v>
      </c>
      <c r="F239" s="346">
        <v>967547</v>
      </c>
      <c r="G239" s="350">
        <v>1060316</v>
      </c>
      <c r="H239" s="348">
        <v>1060316</v>
      </c>
      <c r="I239" s="455">
        <f t="shared" si="37"/>
        <v>100</v>
      </c>
    </row>
    <row r="240" spans="1:9" ht="18.75" customHeight="1" x14ac:dyDescent="0.2">
      <c r="A240" s="427" t="s">
        <v>273</v>
      </c>
      <c r="B240" s="319">
        <v>74744</v>
      </c>
      <c r="C240" s="323">
        <v>105106</v>
      </c>
      <c r="D240" s="321">
        <v>103312.46</v>
      </c>
      <c r="E240" s="324">
        <f t="shared" si="36"/>
        <v>98.293589328868009</v>
      </c>
      <c r="F240" s="319">
        <v>130198</v>
      </c>
      <c r="G240" s="323">
        <v>152731</v>
      </c>
      <c r="H240" s="321">
        <v>117789.05</v>
      </c>
      <c r="I240" s="324">
        <f t="shared" si="37"/>
        <v>77.121900596473537</v>
      </c>
    </row>
    <row r="241" spans="1:13" ht="16.5" customHeight="1" thickBot="1" x14ac:dyDescent="0.25">
      <c r="A241" s="428" t="s">
        <v>307</v>
      </c>
      <c r="B241" s="334">
        <v>0</v>
      </c>
      <c r="C241" s="335">
        <v>0</v>
      </c>
      <c r="D241" s="336">
        <f>8108.64-90</f>
        <v>8018.64</v>
      </c>
      <c r="E241" s="338"/>
      <c r="F241" s="334">
        <v>0</v>
      </c>
      <c r="G241" s="335">
        <v>0</v>
      </c>
      <c r="H241" s="336">
        <f>14598.15-362.8</f>
        <v>14235.35</v>
      </c>
      <c r="I241" s="338"/>
    </row>
    <row r="242" spans="1:13" ht="24" customHeight="1" thickBot="1" x14ac:dyDescent="0.25">
      <c r="A242" s="472" t="s">
        <v>275</v>
      </c>
      <c r="B242" s="340">
        <f>SUM(B239:B241)</f>
        <v>670291</v>
      </c>
      <c r="C242" s="341">
        <f>SUM(C239:C241)</f>
        <v>803220</v>
      </c>
      <c r="D242" s="342">
        <f>SUM(D239:D241)</f>
        <v>809445.1</v>
      </c>
      <c r="E242" s="384">
        <f t="shared" si="36"/>
        <v>100.77501805233933</v>
      </c>
      <c r="F242" s="340">
        <f>SUM(F239:F241)</f>
        <v>1097745</v>
      </c>
      <c r="G242" s="341">
        <f>SUM(G239:G241)</f>
        <v>1213047</v>
      </c>
      <c r="H242" s="342">
        <f>SUM(H239:H241)</f>
        <v>1192340.4000000001</v>
      </c>
      <c r="I242" s="384">
        <f t="shared" si="37"/>
        <v>98.293009256854859</v>
      </c>
    </row>
    <row r="243" spans="1:13" ht="15.75" customHeight="1" x14ac:dyDescent="0.2">
      <c r="A243" s="469" t="s">
        <v>276</v>
      </c>
      <c r="B243" s="346">
        <v>0</v>
      </c>
      <c r="C243" s="350">
        <v>7898</v>
      </c>
      <c r="D243" s="348">
        <v>7898</v>
      </c>
      <c r="E243" s="351">
        <f t="shared" si="36"/>
        <v>100</v>
      </c>
      <c r="F243" s="346">
        <v>0</v>
      </c>
      <c r="G243" s="350">
        <v>18349</v>
      </c>
      <c r="H243" s="348">
        <v>18349</v>
      </c>
      <c r="I243" s="351">
        <f t="shared" si="37"/>
        <v>100</v>
      </c>
    </row>
    <row r="244" spans="1:13" ht="15.75" customHeight="1" x14ac:dyDescent="0.2">
      <c r="A244" s="422" t="s">
        <v>309</v>
      </c>
      <c r="B244" s="319">
        <v>0</v>
      </c>
      <c r="C244" s="323">
        <v>3036</v>
      </c>
      <c r="D244" s="321">
        <v>3036</v>
      </c>
      <c r="E244" s="324">
        <f t="shared" si="36"/>
        <v>100</v>
      </c>
      <c r="F244" s="319">
        <v>0</v>
      </c>
      <c r="G244" s="323">
        <v>2605</v>
      </c>
      <c r="H244" s="321">
        <v>2605</v>
      </c>
      <c r="I244" s="324">
        <f t="shared" si="37"/>
        <v>100</v>
      </c>
    </row>
    <row r="245" spans="1:13" ht="15.75" customHeight="1" x14ac:dyDescent="0.2">
      <c r="A245" s="422" t="s">
        <v>278</v>
      </c>
      <c r="B245" s="319">
        <v>0</v>
      </c>
      <c r="C245" s="323">
        <v>36576</v>
      </c>
      <c r="D245" s="321">
        <v>36576</v>
      </c>
      <c r="E245" s="324">
        <f t="shared" si="36"/>
        <v>100</v>
      </c>
      <c r="F245" s="319">
        <v>0</v>
      </c>
      <c r="G245" s="323">
        <v>0</v>
      </c>
      <c r="H245" s="321">
        <v>0</v>
      </c>
      <c r="I245" s="324"/>
    </row>
    <row r="246" spans="1:13" ht="15.75" customHeight="1" x14ac:dyDescent="0.2">
      <c r="A246" s="422" t="s">
        <v>279</v>
      </c>
      <c r="B246" s="319">
        <v>0</v>
      </c>
      <c r="C246" s="323">
        <v>0</v>
      </c>
      <c r="D246" s="321">
        <v>0</v>
      </c>
      <c r="E246" s="324"/>
      <c r="F246" s="319">
        <v>0</v>
      </c>
      <c r="G246" s="323">
        <v>0</v>
      </c>
      <c r="H246" s="321">
        <v>0</v>
      </c>
      <c r="I246" s="324"/>
    </row>
    <row r="247" spans="1:13" ht="15.75" customHeight="1" x14ac:dyDescent="0.2">
      <c r="A247" s="431" t="s">
        <v>280</v>
      </c>
      <c r="B247" s="319">
        <v>0</v>
      </c>
      <c r="C247" s="323">
        <v>250</v>
      </c>
      <c r="D247" s="321">
        <v>250</v>
      </c>
      <c r="E247" s="324">
        <f t="shared" si="36"/>
        <v>100</v>
      </c>
      <c r="F247" s="319">
        <v>0</v>
      </c>
      <c r="G247" s="323">
        <v>0</v>
      </c>
      <c r="H247" s="321">
        <v>0</v>
      </c>
      <c r="I247" s="324"/>
    </row>
    <row r="248" spans="1:13" ht="15.75" customHeight="1" x14ac:dyDescent="0.2">
      <c r="A248" s="431" t="s">
        <v>281</v>
      </c>
      <c r="B248" s="319">
        <v>0</v>
      </c>
      <c r="C248" s="323">
        <v>10172</v>
      </c>
      <c r="D248" s="321">
        <v>10172</v>
      </c>
      <c r="E248" s="324">
        <f t="shared" si="36"/>
        <v>100</v>
      </c>
      <c r="F248" s="319">
        <v>0</v>
      </c>
      <c r="G248" s="323">
        <v>17044</v>
      </c>
      <c r="H248" s="321">
        <v>17044</v>
      </c>
      <c r="I248" s="324">
        <f t="shared" si="37"/>
        <v>100</v>
      </c>
    </row>
    <row r="249" spans="1:13" ht="15.75" customHeight="1" x14ac:dyDescent="0.2">
      <c r="A249" s="431" t="s">
        <v>282</v>
      </c>
      <c r="B249" s="319">
        <v>0</v>
      </c>
      <c r="C249" s="323">
        <v>1500</v>
      </c>
      <c r="D249" s="321">
        <v>1500</v>
      </c>
      <c r="E249" s="324">
        <f t="shared" si="36"/>
        <v>100</v>
      </c>
      <c r="F249" s="319">
        <v>0</v>
      </c>
      <c r="G249" s="323">
        <v>5250</v>
      </c>
      <c r="H249" s="321">
        <v>5250</v>
      </c>
      <c r="I249" s="324">
        <f t="shared" si="37"/>
        <v>100</v>
      </c>
    </row>
    <row r="250" spans="1:13" ht="15.75" customHeight="1" x14ac:dyDescent="0.2">
      <c r="A250" s="431" t="s">
        <v>283</v>
      </c>
      <c r="B250" s="319">
        <v>0</v>
      </c>
      <c r="C250" s="323">
        <v>0</v>
      </c>
      <c r="D250" s="321">
        <v>0</v>
      </c>
      <c r="E250" s="324"/>
      <c r="F250" s="319">
        <v>0</v>
      </c>
      <c r="G250" s="323">
        <v>0</v>
      </c>
      <c r="H250" s="321">
        <v>0</v>
      </c>
      <c r="I250" s="324"/>
    </row>
    <row r="251" spans="1:13" ht="15.75" customHeight="1" x14ac:dyDescent="0.2">
      <c r="A251" s="431" t="s">
        <v>284</v>
      </c>
      <c r="B251" s="319">
        <v>0</v>
      </c>
      <c r="C251" s="323">
        <v>0</v>
      </c>
      <c r="D251" s="321">
        <v>0</v>
      </c>
      <c r="E251" s="324"/>
      <c r="F251" s="319">
        <v>0</v>
      </c>
      <c r="G251" s="323">
        <v>800</v>
      </c>
      <c r="H251" s="321">
        <v>0</v>
      </c>
      <c r="I251" s="324"/>
    </row>
    <row r="252" spans="1:13" ht="15.75" customHeight="1" thickBot="1" x14ac:dyDescent="0.25">
      <c r="A252" s="427" t="s">
        <v>285</v>
      </c>
      <c r="B252" s="334">
        <v>0</v>
      </c>
      <c r="C252" s="335">
        <v>0</v>
      </c>
      <c r="D252" s="336">
        <v>0</v>
      </c>
      <c r="E252" s="338"/>
      <c r="F252" s="334">
        <v>0</v>
      </c>
      <c r="G252" s="335">
        <v>0</v>
      </c>
      <c r="H252" s="336">
        <v>0</v>
      </c>
      <c r="I252" s="338"/>
      <c r="J252" s="473"/>
      <c r="K252" s="473"/>
      <c r="L252" s="473"/>
      <c r="M252" s="473"/>
    </row>
    <row r="253" spans="1:13" ht="20.25" customHeight="1" thickBot="1" x14ac:dyDescent="0.25">
      <c r="A253" s="439" t="s">
        <v>286</v>
      </c>
      <c r="B253" s="372">
        <f>SUM(B243:B252)</f>
        <v>0</v>
      </c>
      <c r="C253" s="376">
        <f>SUM(C243:C252)</f>
        <v>59432</v>
      </c>
      <c r="D253" s="374">
        <f>SUM(D243:D252)</f>
        <v>59432</v>
      </c>
      <c r="E253" s="377">
        <f t="shared" ref="E253:E270" si="38">D253/C253*100</f>
        <v>100</v>
      </c>
      <c r="F253" s="372">
        <f>SUM(F243:F252)</f>
        <v>0</v>
      </c>
      <c r="G253" s="376">
        <f>SUM(G243:G252)</f>
        <v>44048</v>
      </c>
      <c r="H253" s="374">
        <f>SUM(H243:H252)</f>
        <v>43248</v>
      </c>
      <c r="I253" s="384">
        <f t="shared" si="37"/>
        <v>98.183799491463859</v>
      </c>
      <c r="J253" s="473"/>
      <c r="K253" s="473"/>
      <c r="L253" s="473"/>
      <c r="M253" s="473"/>
    </row>
    <row r="254" spans="1:13" ht="20.25" customHeight="1" thickBot="1" x14ac:dyDescent="0.25">
      <c r="A254" s="439" t="s">
        <v>287</v>
      </c>
      <c r="B254" s="372">
        <v>0</v>
      </c>
      <c r="C254" s="376">
        <v>0</v>
      </c>
      <c r="D254" s="374">
        <f>400+500+510.24+19363.33</f>
        <v>20773.570000000003</v>
      </c>
      <c r="E254" s="377"/>
      <c r="F254" s="372">
        <v>0</v>
      </c>
      <c r="G254" s="376">
        <v>0</v>
      </c>
      <c r="H254" s="374">
        <f>1750+12774.9</f>
        <v>14524.9</v>
      </c>
      <c r="I254" s="384"/>
      <c r="J254" s="473"/>
      <c r="K254" s="473"/>
      <c r="L254" s="473"/>
      <c r="M254" s="473"/>
    </row>
    <row r="255" spans="1:13" ht="24.95" customHeight="1" thickBot="1" x14ac:dyDescent="0.25">
      <c r="A255" s="426" t="s">
        <v>288</v>
      </c>
      <c r="B255" s="309">
        <f>SUM(B256:B260)</f>
        <v>234558</v>
      </c>
      <c r="C255" s="306">
        <f>SUM(C256:C260)</f>
        <v>270654</v>
      </c>
      <c r="D255" s="307">
        <f>SUM(D256:D260)</f>
        <v>270612.26</v>
      </c>
      <c r="E255" s="377">
        <f t="shared" si="38"/>
        <v>99.984578096019277</v>
      </c>
      <c r="F255" s="309">
        <f>SUM(F256:F260)</f>
        <v>356757</v>
      </c>
      <c r="G255" s="306">
        <f>SUM(G256:G260)</f>
        <v>408251</v>
      </c>
      <c r="H255" s="307">
        <f>SUM(H256:H260)</f>
        <v>407910.34</v>
      </c>
      <c r="I255" s="384">
        <f t="shared" si="37"/>
        <v>99.916556236237028</v>
      </c>
      <c r="J255" s="473"/>
      <c r="K255" s="473"/>
      <c r="L255" s="473"/>
      <c r="M255" s="473"/>
    </row>
    <row r="256" spans="1:13" ht="15.75" customHeight="1" x14ac:dyDescent="0.2">
      <c r="A256" s="435" t="s">
        <v>289</v>
      </c>
      <c r="B256" s="346">
        <v>0</v>
      </c>
      <c r="C256" s="323">
        <v>10834</v>
      </c>
      <c r="D256" s="348">
        <v>10834.77</v>
      </c>
      <c r="E256" s="474">
        <f t="shared" si="38"/>
        <v>100.00710725493815</v>
      </c>
      <c r="F256" s="346">
        <v>0</v>
      </c>
      <c r="G256" s="350">
        <v>4874</v>
      </c>
      <c r="H256" s="348">
        <v>4875.3500000000004</v>
      </c>
      <c r="I256" s="324">
        <f t="shared" si="37"/>
        <v>100.02769798933116</v>
      </c>
      <c r="J256" s="473"/>
      <c r="K256" s="473"/>
      <c r="L256" s="473"/>
      <c r="M256" s="473"/>
    </row>
    <row r="257" spans="1:248" ht="15.75" customHeight="1" x14ac:dyDescent="0.2">
      <c r="A257" s="436" t="s">
        <v>290</v>
      </c>
      <c r="B257" s="319">
        <v>76807</v>
      </c>
      <c r="C257" s="323">
        <v>76993</v>
      </c>
      <c r="D257" s="321">
        <v>76992.990000000005</v>
      </c>
      <c r="E257" s="474">
        <f t="shared" si="38"/>
        <v>99.999987011806283</v>
      </c>
      <c r="F257" s="319">
        <v>120227</v>
      </c>
      <c r="G257" s="323">
        <v>156227</v>
      </c>
      <c r="H257" s="321">
        <v>156227</v>
      </c>
      <c r="I257" s="324">
        <f t="shared" si="37"/>
        <v>100</v>
      </c>
      <c r="J257" s="473"/>
      <c r="K257" s="473"/>
      <c r="L257" s="473"/>
      <c r="M257" s="473"/>
    </row>
    <row r="258" spans="1:248" ht="15.75" customHeight="1" x14ac:dyDescent="0.2">
      <c r="A258" s="437" t="s">
        <v>291</v>
      </c>
      <c r="B258" s="319">
        <v>10080</v>
      </c>
      <c r="C258" s="323">
        <v>11192</v>
      </c>
      <c r="D258" s="321">
        <v>11149.5</v>
      </c>
      <c r="E258" s="474">
        <f t="shared" si="38"/>
        <v>99.620264474624733</v>
      </c>
      <c r="F258" s="319">
        <v>28000</v>
      </c>
      <c r="G258" s="323">
        <v>28000</v>
      </c>
      <c r="H258" s="321">
        <v>27869.97</v>
      </c>
      <c r="I258" s="324">
        <f t="shared" si="37"/>
        <v>99.535607142857145</v>
      </c>
    </row>
    <row r="259" spans="1:248" ht="15.75" customHeight="1" x14ac:dyDescent="0.2">
      <c r="A259" s="437" t="s">
        <v>292</v>
      </c>
      <c r="B259" s="319">
        <v>142871</v>
      </c>
      <c r="C259" s="323">
        <v>165785</v>
      </c>
      <c r="D259" s="321">
        <v>165785</v>
      </c>
      <c r="E259" s="474">
        <f t="shared" si="38"/>
        <v>100</v>
      </c>
      <c r="F259" s="319">
        <v>199730</v>
      </c>
      <c r="G259" s="323">
        <v>210350</v>
      </c>
      <c r="H259" s="321">
        <v>210350</v>
      </c>
      <c r="I259" s="324">
        <f t="shared" si="37"/>
        <v>100</v>
      </c>
    </row>
    <row r="260" spans="1:248" ht="15.75" customHeight="1" thickBot="1" x14ac:dyDescent="0.25">
      <c r="A260" s="438" t="s">
        <v>293</v>
      </c>
      <c r="B260" s="334">
        <v>4800</v>
      </c>
      <c r="C260" s="335">
        <v>5850</v>
      </c>
      <c r="D260" s="336">
        <v>5850</v>
      </c>
      <c r="E260" s="475">
        <f t="shared" si="38"/>
        <v>100</v>
      </c>
      <c r="F260" s="334">
        <v>8800</v>
      </c>
      <c r="G260" s="335">
        <v>8800</v>
      </c>
      <c r="H260" s="336">
        <v>8588.02</v>
      </c>
      <c r="I260" s="338">
        <f t="shared" si="37"/>
        <v>97.591136363636366</v>
      </c>
    </row>
    <row r="261" spans="1:248" s="378" customFormat="1" ht="18.75" customHeight="1" thickBot="1" x14ac:dyDescent="0.25">
      <c r="A261" s="439" t="s">
        <v>294</v>
      </c>
      <c r="B261" s="372">
        <v>16893</v>
      </c>
      <c r="C261" s="376">
        <v>16893</v>
      </c>
      <c r="D261" s="374">
        <v>12882.07</v>
      </c>
      <c r="E261" s="377">
        <f t="shared" si="38"/>
        <v>76.256851950512043</v>
      </c>
      <c r="F261" s="372">
        <v>17194</v>
      </c>
      <c r="G261" s="376">
        <v>17194</v>
      </c>
      <c r="H261" s="374">
        <v>31859.67</v>
      </c>
      <c r="I261" s="377">
        <f t="shared" si="37"/>
        <v>185.29527742235663</v>
      </c>
    </row>
    <row r="262" spans="1:248" s="378" customFormat="1" ht="18.75" customHeight="1" thickBot="1" x14ac:dyDescent="0.25">
      <c r="A262" s="439" t="s">
        <v>295</v>
      </c>
      <c r="B262" s="372">
        <v>39744</v>
      </c>
      <c r="C262" s="376">
        <v>39744</v>
      </c>
      <c r="D262" s="374">
        <v>21608.400000000001</v>
      </c>
      <c r="E262" s="377">
        <f t="shared" si="38"/>
        <v>54.36896135265701</v>
      </c>
      <c r="F262" s="372">
        <v>75600</v>
      </c>
      <c r="G262" s="376">
        <v>75600</v>
      </c>
      <c r="H262" s="374">
        <v>38622</v>
      </c>
      <c r="I262" s="377">
        <f t="shared" si="37"/>
        <v>51.087301587301596</v>
      </c>
    </row>
    <row r="263" spans="1:248" s="378" customFormat="1" ht="18.75" customHeight="1" thickBot="1" x14ac:dyDescent="0.25">
      <c r="A263" s="439" t="s">
        <v>296</v>
      </c>
      <c r="B263" s="372">
        <v>0</v>
      </c>
      <c r="C263" s="376">
        <v>0</v>
      </c>
      <c r="D263" s="374">
        <v>90</v>
      </c>
      <c r="E263" s="377"/>
      <c r="F263" s="372">
        <v>0</v>
      </c>
      <c r="G263" s="376">
        <v>0</v>
      </c>
      <c r="H263" s="374">
        <v>362.8</v>
      </c>
      <c r="I263" s="377"/>
    </row>
    <row r="264" spans="1:248" ht="16.5" customHeight="1" thickBot="1" x14ac:dyDescent="0.25">
      <c r="A264" s="429" t="s">
        <v>297</v>
      </c>
      <c r="B264" s="309">
        <f t="shared" ref="B264:D264" si="39">SUM(B265:B266)</f>
        <v>0</v>
      </c>
      <c r="C264" s="306">
        <f t="shared" si="39"/>
        <v>0</v>
      </c>
      <c r="D264" s="307">
        <f t="shared" si="39"/>
        <v>1513</v>
      </c>
      <c r="E264" s="377"/>
      <c r="F264" s="309">
        <f t="shared" ref="F264:H264" si="40">SUM(F265:F266)</f>
        <v>0</v>
      </c>
      <c r="G264" s="306">
        <f t="shared" si="40"/>
        <v>0</v>
      </c>
      <c r="H264" s="307">
        <f t="shared" si="40"/>
        <v>330</v>
      </c>
      <c r="I264" s="384"/>
    </row>
    <row r="265" spans="1:248" ht="15.75" customHeight="1" thickBot="1" x14ac:dyDescent="0.25">
      <c r="A265" s="389" t="s">
        <v>298</v>
      </c>
      <c r="B265" s="346">
        <v>0</v>
      </c>
      <c r="C265" s="350">
        <v>0</v>
      </c>
      <c r="D265" s="348">
        <v>1513</v>
      </c>
      <c r="E265" s="476"/>
      <c r="F265" s="346">
        <v>0</v>
      </c>
      <c r="G265" s="350">
        <v>0</v>
      </c>
      <c r="H265" s="348">
        <v>330</v>
      </c>
      <c r="I265" s="351"/>
    </row>
    <row r="266" spans="1:248" ht="15.75" customHeight="1" thickBot="1" x14ac:dyDescent="0.25">
      <c r="A266" s="396" t="s">
        <v>299</v>
      </c>
      <c r="B266" s="334">
        <v>0</v>
      </c>
      <c r="C266" s="335">
        <v>0</v>
      </c>
      <c r="D266" s="336">
        <v>0</v>
      </c>
      <c r="E266" s="475"/>
      <c r="F266" s="334">
        <v>0</v>
      </c>
      <c r="G266" s="335">
        <v>0</v>
      </c>
      <c r="H266" s="336">
        <v>0</v>
      </c>
      <c r="I266" s="338"/>
    </row>
    <row r="267" spans="1:248" ht="21.75" customHeight="1" thickBot="1" x14ac:dyDescent="0.25">
      <c r="A267" s="420" t="s">
        <v>300</v>
      </c>
      <c r="B267" s="309">
        <f>B238+B255+B264+B261+B262</f>
        <v>961486</v>
      </c>
      <c r="C267" s="306">
        <f t="shared" ref="C267:G267" si="41">C238+C255+C264+C261+C262</f>
        <v>1189943</v>
      </c>
      <c r="D267" s="409">
        <f>D238+D255+D264+D261+D262+D263</f>
        <v>1196356.3999999999</v>
      </c>
      <c r="E267" s="377">
        <f t="shared" si="38"/>
        <v>100.53896699253661</v>
      </c>
      <c r="F267" s="309">
        <f t="shared" si="41"/>
        <v>1547296</v>
      </c>
      <c r="G267" s="306">
        <f t="shared" si="41"/>
        <v>1758140</v>
      </c>
      <c r="H267" s="409">
        <f>H238+H255+H264+H261+H262+H263</f>
        <v>1729198.11</v>
      </c>
      <c r="I267" s="384">
        <f t="shared" si="37"/>
        <v>98.353834734435267</v>
      </c>
    </row>
    <row r="268" spans="1:248" ht="15.75" customHeight="1" x14ac:dyDescent="0.2">
      <c r="A268" s="442" t="s">
        <v>301</v>
      </c>
      <c r="B268" s="346">
        <v>0</v>
      </c>
      <c r="C268" s="411">
        <v>0</v>
      </c>
      <c r="D268" s="412">
        <v>0</v>
      </c>
      <c r="E268" s="351"/>
      <c r="F268" s="346">
        <v>0</v>
      </c>
      <c r="G268" s="411">
        <v>0</v>
      </c>
      <c r="H268" s="412">
        <v>0</v>
      </c>
      <c r="I268" s="351"/>
    </row>
    <row r="269" spans="1:248" ht="15.75" customHeight="1" thickBot="1" x14ac:dyDescent="0.25">
      <c r="A269" s="443" t="s">
        <v>302</v>
      </c>
      <c r="B269" s="334">
        <v>0</v>
      </c>
      <c r="C269" s="477">
        <v>0</v>
      </c>
      <c r="D269" s="478">
        <v>0</v>
      </c>
      <c r="E269" s="338"/>
      <c r="F269" s="334">
        <v>0</v>
      </c>
      <c r="G269" s="477">
        <v>0</v>
      </c>
      <c r="H269" s="401">
        <v>0</v>
      </c>
      <c r="I269" s="338"/>
    </row>
    <row r="270" spans="1:248" ht="21.75" customHeight="1" thickBot="1" x14ac:dyDescent="0.25">
      <c r="A270" s="444" t="s">
        <v>303</v>
      </c>
      <c r="B270" s="407">
        <f>SUM(B267:B269)</f>
        <v>961486</v>
      </c>
      <c r="C270" s="408">
        <f t="shared" ref="C270:D270" si="42">SUM(C267:C269)</f>
        <v>1189943</v>
      </c>
      <c r="D270" s="409">
        <f t="shared" si="42"/>
        <v>1196356.3999999999</v>
      </c>
      <c r="E270" s="377">
        <f t="shared" si="38"/>
        <v>100.53896699253661</v>
      </c>
      <c r="F270" s="407">
        <f>SUM(F267:F269)</f>
        <v>1547296</v>
      </c>
      <c r="G270" s="408">
        <f t="shared" ref="G270:H270" si="43">SUM(G267:G269)</f>
        <v>1758140</v>
      </c>
      <c r="H270" s="409">
        <f t="shared" si="43"/>
        <v>1729198.11</v>
      </c>
      <c r="I270" s="384">
        <f t="shared" si="37"/>
        <v>98.353834734435267</v>
      </c>
    </row>
    <row r="271" spans="1:248" ht="17.25" customHeight="1" x14ac:dyDescent="0.2">
      <c r="A271" s="416"/>
      <c r="B271" s="419"/>
      <c r="C271" s="417"/>
      <c r="D271" s="417"/>
      <c r="E271" s="418"/>
      <c r="F271" s="418"/>
      <c r="G271" s="417"/>
      <c r="H271" s="417"/>
      <c r="I271" s="418"/>
      <c r="J271" s="473"/>
      <c r="K271" s="473"/>
      <c r="L271" s="473"/>
      <c r="M271" s="473"/>
      <c r="N271" s="473"/>
      <c r="O271" s="473"/>
      <c r="P271" s="473"/>
      <c r="Q271" s="473"/>
      <c r="R271" s="473"/>
      <c r="S271" s="473"/>
      <c r="T271" s="473"/>
      <c r="U271" s="473"/>
      <c r="V271" s="473"/>
      <c r="W271" s="473"/>
      <c r="X271" s="473"/>
      <c r="Y271" s="473"/>
      <c r="Z271" s="473"/>
      <c r="AA271" s="473"/>
      <c r="AB271" s="473"/>
      <c r="AC271" s="473"/>
      <c r="AD271" s="473"/>
      <c r="AE271" s="473"/>
      <c r="AF271" s="473"/>
      <c r="AG271" s="473"/>
      <c r="AH271" s="473"/>
      <c r="AI271" s="473"/>
      <c r="AJ271" s="473"/>
      <c r="AK271" s="473"/>
      <c r="AL271" s="473"/>
      <c r="AM271" s="473"/>
      <c r="AN271" s="473"/>
      <c r="AO271" s="473"/>
      <c r="AP271" s="473"/>
      <c r="AQ271" s="473"/>
      <c r="AR271" s="473"/>
      <c r="AS271" s="473"/>
      <c r="AT271" s="473"/>
      <c r="AU271" s="473"/>
      <c r="AV271" s="473"/>
      <c r="AW271" s="473"/>
      <c r="AX271" s="473"/>
      <c r="AY271" s="473"/>
      <c r="AZ271" s="473"/>
      <c r="BA271" s="473"/>
      <c r="BB271" s="473"/>
      <c r="BC271" s="473"/>
      <c r="BD271" s="473"/>
      <c r="BE271" s="473"/>
      <c r="BF271" s="473"/>
      <c r="BG271" s="473"/>
      <c r="BH271" s="473"/>
      <c r="BI271" s="473"/>
      <c r="BJ271" s="473"/>
      <c r="BK271" s="473"/>
      <c r="BL271" s="473"/>
      <c r="BM271" s="473"/>
      <c r="BN271" s="473"/>
      <c r="BO271" s="473"/>
      <c r="BP271" s="473"/>
      <c r="BQ271" s="473"/>
      <c r="BR271" s="473"/>
      <c r="BS271" s="473"/>
      <c r="BT271" s="473"/>
      <c r="BU271" s="473"/>
      <c r="BV271" s="473"/>
      <c r="BW271" s="473"/>
      <c r="BX271" s="473"/>
      <c r="BY271" s="473"/>
      <c r="BZ271" s="473"/>
      <c r="CA271" s="473"/>
      <c r="CB271" s="473"/>
      <c r="CC271" s="473"/>
      <c r="CD271" s="473"/>
      <c r="CE271" s="473"/>
      <c r="CF271" s="473"/>
      <c r="CG271" s="473"/>
      <c r="CH271" s="473"/>
      <c r="CI271" s="473"/>
      <c r="CJ271" s="473"/>
      <c r="CK271" s="473"/>
      <c r="CL271" s="473"/>
      <c r="CM271" s="473"/>
      <c r="CN271" s="473"/>
      <c r="CO271" s="473"/>
      <c r="CP271" s="473"/>
      <c r="CQ271" s="473"/>
      <c r="CR271" s="473"/>
      <c r="CS271" s="473"/>
      <c r="CT271" s="473"/>
      <c r="CU271" s="473"/>
      <c r="CV271" s="473"/>
      <c r="CW271" s="473"/>
      <c r="CX271" s="473"/>
      <c r="CY271" s="473"/>
      <c r="CZ271" s="473"/>
      <c r="DA271" s="473"/>
      <c r="DB271" s="473"/>
      <c r="DC271" s="473"/>
      <c r="DD271" s="473"/>
      <c r="DE271" s="473"/>
      <c r="DF271" s="473"/>
      <c r="DG271" s="473"/>
      <c r="DH271" s="473"/>
      <c r="DI271" s="473"/>
      <c r="DJ271" s="473"/>
      <c r="DK271" s="473"/>
      <c r="DL271" s="473"/>
      <c r="DM271" s="473"/>
      <c r="DN271" s="473"/>
      <c r="DO271" s="473"/>
      <c r="DP271" s="473"/>
      <c r="DQ271" s="473"/>
      <c r="DR271" s="473"/>
      <c r="DS271" s="473"/>
      <c r="DT271" s="473"/>
      <c r="DU271" s="473"/>
      <c r="DV271" s="473"/>
      <c r="DW271" s="473"/>
      <c r="DX271" s="473"/>
      <c r="DY271" s="473"/>
      <c r="DZ271" s="473"/>
      <c r="EA271" s="473"/>
      <c r="EB271" s="473"/>
      <c r="EC271" s="473"/>
      <c r="ED271" s="473"/>
      <c r="EE271" s="473"/>
      <c r="EF271" s="473"/>
      <c r="EG271" s="473"/>
      <c r="EH271" s="473"/>
      <c r="EI271" s="473"/>
      <c r="EJ271" s="473"/>
      <c r="EK271" s="473"/>
      <c r="EL271" s="473"/>
      <c r="EM271" s="473"/>
      <c r="EN271" s="473"/>
      <c r="EO271" s="473"/>
      <c r="EP271" s="473"/>
      <c r="EQ271" s="473"/>
      <c r="ER271" s="473"/>
      <c r="ES271" s="473"/>
      <c r="ET271" s="473"/>
      <c r="EU271" s="473"/>
      <c r="EV271" s="473"/>
      <c r="EW271" s="473"/>
      <c r="EX271" s="473"/>
      <c r="EY271" s="473"/>
      <c r="EZ271" s="473"/>
      <c r="FA271" s="473"/>
      <c r="FB271" s="473"/>
      <c r="FC271" s="473"/>
      <c r="FD271" s="473"/>
      <c r="FE271" s="473"/>
      <c r="FF271" s="473"/>
      <c r="FG271" s="473"/>
      <c r="FH271" s="473"/>
      <c r="FI271" s="473"/>
      <c r="FJ271" s="473"/>
      <c r="FK271" s="473"/>
      <c r="FL271" s="473"/>
      <c r="FM271" s="473"/>
      <c r="FN271" s="473"/>
      <c r="FO271" s="473"/>
      <c r="FP271" s="473"/>
      <c r="FQ271" s="473"/>
      <c r="FR271" s="473"/>
      <c r="FS271" s="473"/>
      <c r="FT271" s="473"/>
      <c r="FU271" s="473"/>
      <c r="FV271" s="473"/>
      <c r="FW271" s="473"/>
      <c r="FX271" s="473"/>
      <c r="FY271" s="473"/>
      <c r="FZ271" s="473"/>
      <c r="GA271" s="473"/>
      <c r="GB271" s="473"/>
      <c r="GC271" s="473"/>
      <c r="GD271" s="473"/>
      <c r="GE271" s="473"/>
      <c r="GF271" s="473"/>
      <c r="GG271" s="473"/>
      <c r="GH271" s="473"/>
      <c r="GI271" s="473"/>
      <c r="GJ271" s="473"/>
      <c r="GK271" s="473"/>
      <c r="GL271" s="473"/>
      <c r="GM271" s="473"/>
      <c r="GN271" s="473"/>
      <c r="GO271" s="473"/>
      <c r="GP271" s="473"/>
      <c r="GQ271" s="473"/>
      <c r="GR271" s="473"/>
      <c r="GS271" s="473"/>
      <c r="GT271" s="473"/>
      <c r="GU271" s="473"/>
      <c r="GV271" s="473"/>
      <c r="GW271" s="473"/>
      <c r="GX271" s="473"/>
      <c r="GY271" s="473"/>
      <c r="GZ271" s="473"/>
      <c r="HA271" s="473"/>
      <c r="HB271" s="473"/>
      <c r="HC271" s="473"/>
      <c r="HD271" s="473"/>
      <c r="HE271" s="473"/>
      <c r="HF271" s="473"/>
      <c r="HG271" s="473"/>
      <c r="HH271" s="473"/>
      <c r="HI271" s="473"/>
      <c r="HJ271" s="473"/>
      <c r="HK271" s="473"/>
      <c r="HL271" s="473"/>
      <c r="HM271" s="473"/>
      <c r="HN271" s="473"/>
      <c r="HO271" s="473"/>
      <c r="HP271" s="473"/>
      <c r="HQ271" s="473"/>
      <c r="HR271" s="473"/>
      <c r="HS271" s="473"/>
      <c r="HT271" s="473"/>
      <c r="HU271" s="473"/>
      <c r="HV271" s="473"/>
      <c r="HW271" s="473"/>
      <c r="HX271" s="473"/>
      <c r="HY271" s="473"/>
      <c r="HZ271" s="473"/>
      <c r="IA271" s="473"/>
      <c r="IB271" s="473"/>
      <c r="IC271" s="473"/>
      <c r="ID271" s="473"/>
      <c r="IE271" s="473"/>
      <c r="IF271" s="473"/>
      <c r="IG271" s="473"/>
      <c r="IH271" s="473"/>
      <c r="II271" s="473"/>
      <c r="IJ271" s="473"/>
      <c r="IK271" s="473"/>
      <c r="IL271" s="473"/>
      <c r="IM271" s="473"/>
      <c r="IN271" s="473"/>
    </row>
    <row r="272" spans="1:248" ht="16.5" customHeight="1" x14ac:dyDescent="0.2">
      <c r="A272" s="416"/>
      <c r="B272" s="419"/>
      <c r="C272" s="417"/>
      <c r="D272" s="417"/>
      <c r="E272" s="418"/>
      <c r="F272" s="418"/>
      <c r="G272" s="417"/>
      <c r="H272" s="417"/>
      <c r="I272" s="418"/>
      <c r="J272" s="473"/>
      <c r="K272" s="473"/>
      <c r="L272" s="473"/>
      <c r="M272" s="473"/>
      <c r="N272" s="473"/>
      <c r="O272" s="473"/>
      <c r="P272" s="473"/>
      <c r="Q272" s="473"/>
      <c r="R272" s="473"/>
      <c r="S272" s="473"/>
      <c r="T272" s="473"/>
      <c r="U272" s="473"/>
      <c r="V272" s="473"/>
      <c r="W272" s="473"/>
      <c r="X272" s="473"/>
      <c r="Y272" s="473"/>
      <c r="Z272" s="473"/>
      <c r="AA272" s="473"/>
      <c r="AB272" s="473"/>
      <c r="AC272" s="473"/>
      <c r="AD272" s="473"/>
      <c r="AE272" s="473"/>
      <c r="AF272" s="473"/>
      <c r="AG272" s="473"/>
      <c r="AH272" s="473"/>
      <c r="AI272" s="473"/>
      <c r="AJ272" s="473"/>
      <c r="AK272" s="473"/>
      <c r="AL272" s="473"/>
      <c r="AM272" s="473"/>
      <c r="AN272" s="473"/>
      <c r="AO272" s="473"/>
      <c r="AP272" s="473"/>
      <c r="AQ272" s="473"/>
      <c r="AR272" s="473"/>
      <c r="AS272" s="473"/>
      <c r="AT272" s="473"/>
      <c r="AU272" s="473"/>
      <c r="AV272" s="473"/>
      <c r="AW272" s="473"/>
      <c r="AX272" s="473"/>
      <c r="AY272" s="473"/>
      <c r="AZ272" s="473"/>
      <c r="BA272" s="473"/>
      <c r="BB272" s="473"/>
      <c r="BC272" s="473"/>
      <c r="BD272" s="473"/>
      <c r="BE272" s="473"/>
      <c r="BF272" s="473"/>
      <c r="BG272" s="473"/>
      <c r="BH272" s="473"/>
      <c r="BI272" s="473"/>
      <c r="BJ272" s="473"/>
      <c r="BK272" s="473"/>
      <c r="BL272" s="473"/>
      <c r="BM272" s="473"/>
      <c r="BN272" s="473"/>
      <c r="BO272" s="473"/>
      <c r="BP272" s="473"/>
      <c r="BQ272" s="473"/>
      <c r="BR272" s="473"/>
      <c r="BS272" s="473"/>
      <c r="BT272" s="473"/>
      <c r="BU272" s="473"/>
      <c r="BV272" s="473"/>
      <c r="BW272" s="473"/>
      <c r="BX272" s="473"/>
      <c r="BY272" s="473"/>
      <c r="BZ272" s="473"/>
      <c r="CA272" s="473"/>
      <c r="CB272" s="473"/>
      <c r="CC272" s="473"/>
      <c r="CD272" s="473"/>
      <c r="CE272" s="473"/>
      <c r="CF272" s="473"/>
      <c r="CG272" s="473"/>
      <c r="CH272" s="473"/>
      <c r="CI272" s="473"/>
      <c r="CJ272" s="473"/>
      <c r="CK272" s="473"/>
      <c r="CL272" s="473"/>
      <c r="CM272" s="473"/>
      <c r="CN272" s="473"/>
      <c r="CO272" s="473"/>
      <c r="CP272" s="473"/>
      <c r="CQ272" s="473"/>
      <c r="CR272" s="473"/>
      <c r="CS272" s="473"/>
      <c r="CT272" s="473"/>
      <c r="CU272" s="473"/>
      <c r="CV272" s="473"/>
      <c r="CW272" s="473"/>
      <c r="CX272" s="473"/>
      <c r="CY272" s="473"/>
      <c r="CZ272" s="473"/>
      <c r="DA272" s="473"/>
      <c r="DB272" s="473"/>
      <c r="DC272" s="473"/>
      <c r="DD272" s="473"/>
      <c r="DE272" s="473"/>
      <c r="DF272" s="473"/>
      <c r="DG272" s="473"/>
      <c r="DH272" s="473"/>
      <c r="DI272" s="473"/>
      <c r="DJ272" s="473"/>
      <c r="DK272" s="473"/>
      <c r="DL272" s="473"/>
      <c r="DM272" s="473"/>
      <c r="DN272" s="473"/>
      <c r="DO272" s="473"/>
      <c r="DP272" s="473"/>
      <c r="DQ272" s="473"/>
      <c r="DR272" s="473"/>
      <c r="DS272" s="473"/>
      <c r="DT272" s="473"/>
      <c r="DU272" s="473"/>
      <c r="DV272" s="473"/>
      <c r="DW272" s="473"/>
      <c r="DX272" s="473"/>
      <c r="DY272" s="473"/>
      <c r="DZ272" s="473"/>
      <c r="EA272" s="473"/>
      <c r="EB272" s="473"/>
      <c r="EC272" s="473"/>
      <c r="ED272" s="473"/>
      <c r="EE272" s="473"/>
      <c r="EF272" s="473"/>
      <c r="EG272" s="473"/>
      <c r="EH272" s="473"/>
      <c r="EI272" s="473"/>
      <c r="EJ272" s="473"/>
      <c r="EK272" s="473"/>
      <c r="EL272" s="473"/>
      <c r="EM272" s="473"/>
      <c r="EN272" s="473"/>
      <c r="EO272" s="473"/>
      <c r="EP272" s="473"/>
      <c r="EQ272" s="473"/>
      <c r="ER272" s="473"/>
      <c r="ES272" s="473"/>
      <c r="ET272" s="473"/>
      <c r="EU272" s="473"/>
      <c r="EV272" s="473"/>
      <c r="EW272" s="473"/>
      <c r="EX272" s="473"/>
      <c r="EY272" s="473"/>
      <c r="EZ272" s="473"/>
      <c r="FA272" s="473"/>
      <c r="FB272" s="473"/>
      <c r="FC272" s="473"/>
      <c r="FD272" s="473"/>
      <c r="FE272" s="473"/>
      <c r="FF272" s="473"/>
      <c r="FG272" s="473"/>
      <c r="FH272" s="473"/>
      <c r="FI272" s="473"/>
      <c r="FJ272" s="473"/>
      <c r="FK272" s="473"/>
      <c r="FL272" s="473"/>
      <c r="FM272" s="473"/>
      <c r="FN272" s="473"/>
      <c r="FO272" s="473"/>
      <c r="FP272" s="473"/>
      <c r="FQ272" s="473"/>
      <c r="FR272" s="473"/>
      <c r="FS272" s="473"/>
      <c r="FT272" s="473"/>
      <c r="FU272" s="473"/>
      <c r="FV272" s="473"/>
      <c r="FW272" s="473"/>
      <c r="FX272" s="473"/>
      <c r="FY272" s="473"/>
      <c r="FZ272" s="473"/>
      <c r="GA272" s="473"/>
      <c r="GB272" s="473"/>
      <c r="GC272" s="473"/>
      <c r="GD272" s="473"/>
      <c r="GE272" s="473"/>
      <c r="GF272" s="473"/>
      <c r="GG272" s="473"/>
      <c r="GH272" s="473"/>
      <c r="GI272" s="473"/>
      <c r="GJ272" s="473"/>
      <c r="GK272" s="473"/>
      <c r="GL272" s="473"/>
      <c r="GM272" s="473"/>
      <c r="GN272" s="473"/>
      <c r="GO272" s="473"/>
      <c r="GP272" s="473"/>
      <c r="GQ272" s="473"/>
      <c r="GR272" s="473"/>
      <c r="GS272" s="473"/>
      <c r="GT272" s="473"/>
      <c r="GU272" s="473"/>
      <c r="GV272" s="473"/>
      <c r="GW272" s="473"/>
      <c r="GX272" s="473"/>
      <c r="GY272" s="473"/>
      <c r="GZ272" s="473"/>
      <c r="HA272" s="473"/>
      <c r="HB272" s="473"/>
      <c r="HC272" s="473"/>
      <c r="HD272" s="473"/>
      <c r="HE272" s="473"/>
      <c r="HF272" s="473"/>
      <c r="HG272" s="473"/>
      <c r="HH272" s="473"/>
      <c r="HI272" s="473"/>
      <c r="HJ272" s="473"/>
      <c r="HK272" s="473"/>
      <c r="HL272" s="473"/>
      <c r="HM272" s="473"/>
      <c r="HN272" s="473"/>
      <c r="HO272" s="473"/>
      <c r="HP272" s="473"/>
      <c r="HQ272" s="473"/>
      <c r="HR272" s="473"/>
      <c r="HS272" s="473"/>
      <c r="HT272" s="473"/>
      <c r="HU272" s="473"/>
      <c r="HV272" s="473"/>
      <c r="HW272" s="473"/>
      <c r="HX272" s="473"/>
      <c r="HY272" s="473"/>
      <c r="HZ272" s="473"/>
      <c r="IA272" s="473"/>
      <c r="IB272" s="473"/>
      <c r="IC272" s="473"/>
      <c r="ID272" s="473"/>
      <c r="IE272" s="473"/>
      <c r="IF272" s="473"/>
      <c r="IG272" s="473"/>
      <c r="IH272" s="473"/>
      <c r="II272" s="473"/>
      <c r="IJ272" s="473"/>
      <c r="IK272" s="473"/>
      <c r="IL272" s="473"/>
      <c r="IM272" s="473"/>
      <c r="IN272" s="473"/>
    </row>
    <row r="273" spans="1:248" ht="16.5" customHeight="1" x14ac:dyDescent="0.2">
      <c r="A273" s="416"/>
      <c r="B273" s="419"/>
      <c r="C273" s="417"/>
      <c r="D273" s="417"/>
      <c r="E273" s="418"/>
      <c r="F273" s="418"/>
      <c r="G273" s="417"/>
      <c r="H273" s="417"/>
      <c r="I273" s="418"/>
      <c r="J273" s="473"/>
      <c r="K273" s="473"/>
      <c r="L273" s="473"/>
      <c r="M273" s="473"/>
      <c r="N273" s="473"/>
      <c r="O273" s="473"/>
      <c r="P273" s="473"/>
      <c r="Q273" s="473"/>
      <c r="R273" s="473"/>
      <c r="S273" s="473"/>
      <c r="T273" s="473"/>
      <c r="U273" s="473"/>
      <c r="V273" s="473"/>
      <c r="W273" s="473"/>
      <c r="X273" s="473"/>
      <c r="Y273" s="473"/>
      <c r="Z273" s="473"/>
      <c r="AA273" s="473"/>
      <c r="AB273" s="473"/>
      <c r="AC273" s="473"/>
      <c r="AD273" s="473"/>
      <c r="AE273" s="473"/>
      <c r="AF273" s="473"/>
      <c r="AG273" s="473"/>
      <c r="AH273" s="473"/>
      <c r="AI273" s="473"/>
      <c r="AJ273" s="473"/>
      <c r="AK273" s="473"/>
      <c r="AL273" s="473"/>
      <c r="AM273" s="473"/>
      <c r="AN273" s="473"/>
      <c r="AO273" s="473"/>
      <c r="AP273" s="473"/>
      <c r="AQ273" s="473"/>
      <c r="AR273" s="473"/>
      <c r="AS273" s="473"/>
      <c r="AT273" s="473"/>
      <c r="AU273" s="473"/>
      <c r="AV273" s="473"/>
      <c r="AW273" s="473"/>
      <c r="AX273" s="473"/>
      <c r="AY273" s="473"/>
      <c r="AZ273" s="473"/>
      <c r="BA273" s="473"/>
      <c r="BB273" s="473"/>
      <c r="BC273" s="473"/>
      <c r="BD273" s="473"/>
      <c r="BE273" s="473"/>
      <c r="BF273" s="473"/>
      <c r="BG273" s="473"/>
      <c r="BH273" s="473"/>
      <c r="BI273" s="473"/>
      <c r="BJ273" s="473"/>
      <c r="BK273" s="473"/>
      <c r="BL273" s="473"/>
      <c r="BM273" s="473"/>
      <c r="BN273" s="473"/>
      <c r="BO273" s="473"/>
      <c r="BP273" s="473"/>
      <c r="BQ273" s="473"/>
      <c r="BR273" s="473"/>
      <c r="BS273" s="473"/>
      <c r="BT273" s="473"/>
      <c r="BU273" s="473"/>
      <c r="BV273" s="473"/>
      <c r="BW273" s="473"/>
      <c r="BX273" s="473"/>
      <c r="BY273" s="473"/>
      <c r="BZ273" s="473"/>
      <c r="CA273" s="473"/>
      <c r="CB273" s="473"/>
      <c r="CC273" s="473"/>
      <c r="CD273" s="473"/>
      <c r="CE273" s="473"/>
      <c r="CF273" s="473"/>
      <c r="CG273" s="473"/>
      <c r="CH273" s="473"/>
      <c r="CI273" s="473"/>
      <c r="CJ273" s="473"/>
      <c r="CK273" s="473"/>
      <c r="CL273" s="473"/>
      <c r="CM273" s="473"/>
      <c r="CN273" s="473"/>
      <c r="CO273" s="473"/>
      <c r="CP273" s="473"/>
      <c r="CQ273" s="473"/>
      <c r="CR273" s="473"/>
      <c r="CS273" s="473"/>
      <c r="CT273" s="473"/>
      <c r="CU273" s="473"/>
      <c r="CV273" s="473"/>
      <c r="CW273" s="473"/>
      <c r="CX273" s="473"/>
      <c r="CY273" s="473"/>
      <c r="CZ273" s="473"/>
      <c r="DA273" s="473"/>
      <c r="DB273" s="473"/>
      <c r="DC273" s="473"/>
      <c r="DD273" s="473"/>
      <c r="DE273" s="473"/>
      <c r="DF273" s="473"/>
      <c r="DG273" s="473"/>
      <c r="DH273" s="473"/>
      <c r="DI273" s="473"/>
      <c r="DJ273" s="473"/>
      <c r="DK273" s="473"/>
      <c r="DL273" s="473"/>
      <c r="DM273" s="473"/>
      <c r="DN273" s="473"/>
      <c r="DO273" s="473"/>
      <c r="DP273" s="473"/>
      <c r="DQ273" s="473"/>
      <c r="DR273" s="473"/>
      <c r="DS273" s="473"/>
      <c r="DT273" s="473"/>
      <c r="DU273" s="473"/>
      <c r="DV273" s="473"/>
      <c r="DW273" s="473"/>
      <c r="DX273" s="473"/>
      <c r="DY273" s="473"/>
      <c r="DZ273" s="473"/>
      <c r="EA273" s="473"/>
      <c r="EB273" s="473"/>
      <c r="EC273" s="473"/>
      <c r="ED273" s="473"/>
      <c r="EE273" s="473"/>
      <c r="EF273" s="473"/>
      <c r="EG273" s="473"/>
      <c r="EH273" s="473"/>
      <c r="EI273" s="473"/>
      <c r="EJ273" s="473"/>
      <c r="EK273" s="473"/>
      <c r="EL273" s="473"/>
      <c r="EM273" s="473"/>
      <c r="EN273" s="473"/>
      <c r="EO273" s="473"/>
      <c r="EP273" s="473"/>
      <c r="EQ273" s="473"/>
      <c r="ER273" s="473"/>
      <c r="ES273" s="473"/>
      <c r="ET273" s="473"/>
      <c r="EU273" s="473"/>
      <c r="EV273" s="473"/>
      <c r="EW273" s="473"/>
      <c r="EX273" s="473"/>
      <c r="EY273" s="473"/>
      <c r="EZ273" s="473"/>
      <c r="FA273" s="473"/>
      <c r="FB273" s="473"/>
      <c r="FC273" s="473"/>
      <c r="FD273" s="473"/>
      <c r="FE273" s="473"/>
      <c r="FF273" s="473"/>
      <c r="FG273" s="473"/>
      <c r="FH273" s="473"/>
      <c r="FI273" s="473"/>
      <c r="FJ273" s="473"/>
      <c r="FK273" s="473"/>
      <c r="FL273" s="473"/>
      <c r="FM273" s="473"/>
      <c r="FN273" s="473"/>
      <c r="FO273" s="473"/>
      <c r="FP273" s="473"/>
      <c r="FQ273" s="473"/>
      <c r="FR273" s="473"/>
      <c r="FS273" s="473"/>
      <c r="FT273" s="473"/>
      <c r="FU273" s="473"/>
      <c r="FV273" s="473"/>
      <c r="FW273" s="473"/>
      <c r="FX273" s="473"/>
      <c r="FY273" s="473"/>
      <c r="FZ273" s="473"/>
      <c r="GA273" s="473"/>
      <c r="GB273" s="473"/>
      <c r="GC273" s="473"/>
      <c r="GD273" s="473"/>
      <c r="GE273" s="473"/>
      <c r="GF273" s="473"/>
      <c r="GG273" s="473"/>
      <c r="GH273" s="473"/>
      <c r="GI273" s="473"/>
      <c r="GJ273" s="473"/>
      <c r="GK273" s="473"/>
      <c r="GL273" s="473"/>
      <c r="GM273" s="473"/>
      <c r="GN273" s="473"/>
      <c r="GO273" s="473"/>
      <c r="GP273" s="473"/>
      <c r="GQ273" s="473"/>
      <c r="GR273" s="473"/>
      <c r="GS273" s="473"/>
      <c r="GT273" s="473"/>
      <c r="GU273" s="473"/>
      <c r="GV273" s="473"/>
      <c r="GW273" s="473"/>
      <c r="GX273" s="473"/>
      <c r="GY273" s="473"/>
      <c r="GZ273" s="473"/>
      <c r="HA273" s="473"/>
      <c r="HB273" s="473"/>
      <c r="HC273" s="473"/>
      <c r="HD273" s="473"/>
      <c r="HE273" s="473"/>
      <c r="HF273" s="473"/>
      <c r="HG273" s="473"/>
      <c r="HH273" s="473"/>
      <c r="HI273" s="473"/>
      <c r="HJ273" s="473"/>
      <c r="HK273" s="473"/>
      <c r="HL273" s="473"/>
      <c r="HM273" s="473"/>
      <c r="HN273" s="473"/>
      <c r="HO273" s="473"/>
      <c r="HP273" s="473"/>
      <c r="HQ273" s="473"/>
      <c r="HR273" s="473"/>
      <c r="HS273" s="473"/>
      <c r="HT273" s="473"/>
      <c r="HU273" s="473"/>
      <c r="HV273" s="473"/>
      <c r="HW273" s="473"/>
      <c r="HX273" s="473"/>
      <c r="HY273" s="473"/>
      <c r="HZ273" s="473"/>
      <c r="IA273" s="473"/>
      <c r="IB273" s="473"/>
      <c r="IC273" s="473"/>
      <c r="ID273" s="473"/>
      <c r="IE273" s="473"/>
      <c r="IF273" s="473"/>
      <c r="IG273" s="473"/>
      <c r="IH273" s="473"/>
      <c r="II273" s="473"/>
      <c r="IJ273" s="473"/>
      <c r="IK273" s="473"/>
      <c r="IL273" s="473"/>
      <c r="IM273" s="473"/>
      <c r="IN273" s="473"/>
    </row>
    <row r="274" spans="1:248" ht="16.5" customHeight="1" x14ac:dyDescent="0.2">
      <c r="A274" s="416"/>
      <c r="B274" s="419"/>
      <c r="C274" s="417"/>
      <c r="D274" s="417"/>
      <c r="E274" s="418"/>
      <c r="F274" s="418"/>
      <c r="G274" s="417"/>
      <c r="H274" s="417"/>
      <c r="I274" s="418"/>
      <c r="J274" s="473"/>
      <c r="K274" s="473"/>
      <c r="L274" s="473"/>
      <c r="M274" s="473"/>
      <c r="N274" s="473"/>
      <c r="O274" s="473"/>
      <c r="P274" s="473"/>
      <c r="Q274" s="473"/>
      <c r="R274" s="473"/>
      <c r="S274" s="473"/>
      <c r="T274" s="473"/>
      <c r="U274" s="473"/>
      <c r="V274" s="473"/>
      <c r="W274" s="473"/>
      <c r="X274" s="473"/>
      <c r="Y274" s="473"/>
      <c r="Z274" s="473"/>
      <c r="AA274" s="473"/>
      <c r="AB274" s="473"/>
      <c r="AC274" s="473"/>
      <c r="AD274" s="473"/>
      <c r="AE274" s="473"/>
      <c r="AF274" s="473"/>
      <c r="AG274" s="473"/>
      <c r="AH274" s="473"/>
      <c r="AI274" s="473"/>
      <c r="AJ274" s="473"/>
      <c r="AK274" s="473"/>
      <c r="AL274" s="473"/>
      <c r="AM274" s="473"/>
      <c r="AN274" s="473"/>
      <c r="AO274" s="473"/>
      <c r="AP274" s="473"/>
      <c r="AQ274" s="473"/>
      <c r="AR274" s="473"/>
      <c r="AS274" s="473"/>
      <c r="AT274" s="473"/>
      <c r="AU274" s="473"/>
      <c r="AV274" s="473"/>
      <c r="AW274" s="473"/>
      <c r="AX274" s="473"/>
      <c r="AY274" s="473"/>
      <c r="AZ274" s="473"/>
      <c r="BA274" s="473"/>
      <c r="BB274" s="473"/>
      <c r="BC274" s="473"/>
      <c r="BD274" s="473"/>
      <c r="BE274" s="473"/>
      <c r="BF274" s="473"/>
      <c r="BG274" s="473"/>
      <c r="BH274" s="473"/>
      <c r="BI274" s="473"/>
      <c r="BJ274" s="473"/>
      <c r="BK274" s="473"/>
      <c r="BL274" s="473"/>
      <c r="BM274" s="473"/>
      <c r="BN274" s="473"/>
      <c r="BO274" s="473"/>
      <c r="BP274" s="473"/>
      <c r="BQ274" s="473"/>
      <c r="BR274" s="473"/>
      <c r="BS274" s="473"/>
      <c r="BT274" s="473"/>
      <c r="BU274" s="473"/>
      <c r="BV274" s="473"/>
      <c r="BW274" s="473"/>
      <c r="BX274" s="473"/>
      <c r="BY274" s="473"/>
      <c r="BZ274" s="473"/>
      <c r="CA274" s="473"/>
      <c r="CB274" s="473"/>
      <c r="CC274" s="473"/>
      <c r="CD274" s="473"/>
      <c r="CE274" s="473"/>
      <c r="CF274" s="473"/>
      <c r="CG274" s="473"/>
      <c r="CH274" s="473"/>
      <c r="CI274" s="473"/>
      <c r="CJ274" s="473"/>
      <c r="CK274" s="473"/>
      <c r="CL274" s="473"/>
      <c r="CM274" s="473"/>
      <c r="CN274" s="473"/>
      <c r="CO274" s="473"/>
      <c r="CP274" s="473"/>
      <c r="CQ274" s="473"/>
      <c r="CR274" s="473"/>
      <c r="CS274" s="473"/>
      <c r="CT274" s="473"/>
      <c r="CU274" s="473"/>
      <c r="CV274" s="473"/>
      <c r="CW274" s="473"/>
      <c r="CX274" s="473"/>
      <c r="CY274" s="473"/>
      <c r="CZ274" s="473"/>
      <c r="DA274" s="473"/>
      <c r="DB274" s="473"/>
      <c r="DC274" s="473"/>
      <c r="DD274" s="473"/>
      <c r="DE274" s="473"/>
      <c r="DF274" s="473"/>
      <c r="DG274" s="473"/>
      <c r="DH274" s="473"/>
      <c r="DI274" s="473"/>
      <c r="DJ274" s="473"/>
      <c r="DK274" s="473"/>
      <c r="DL274" s="473"/>
      <c r="DM274" s="473"/>
      <c r="DN274" s="473"/>
      <c r="DO274" s="473"/>
      <c r="DP274" s="473"/>
      <c r="DQ274" s="473"/>
      <c r="DR274" s="473"/>
      <c r="DS274" s="473"/>
      <c r="DT274" s="473"/>
      <c r="DU274" s="473"/>
      <c r="DV274" s="473"/>
      <c r="DW274" s="473"/>
      <c r="DX274" s="473"/>
      <c r="DY274" s="473"/>
      <c r="DZ274" s="473"/>
      <c r="EA274" s="473"/>
      <c r="EB274" s="473"/>
      <c r="EC274" s="473"/>
      <c r="ED274" s="473"/>
      <c r="EE274" s="473"/>
      <c r="EF274" s="473"/>
      <c r="EG274" s="473"/>
      <c r="EH274" s="473"/>
      <c r="EI274" s="473"/>
      <c r="EJ274" s="473"/>
      <c r="EK274" s="473"/>
      <c r="EL274" s="473"/>
      <c r="EM274" s="473"/>
      <c r="EN274" s="473"/>
      <c r="EO274" s="473"/>
      <c r="EP274" s="473"/>
      <c r="EQ274" s="473"/>
      <c r="ER274" s="473"/>
      <c r="ES274" s="473"/>
      <c r="ET274" s="473"/>
      <c r="EU274" s="473"/>
      <c r="EV274" s="473"/>
      <c r="EW274" s="473"/>
      <c r="EX274" s="473"/>
      <c r="EY274" s="473"/>
      <c r="EZ274" s="473"/>
      <c r="FA274" s="473"/>
      <c r="FB274" s="473"/>
      <c r="FC274" s="473"/>
      <c r="FD274" s="473"/>
      <c r="FE274" s="473"/>
      <c r="FF274" s="473"/>
      <c r="FG274" s="473"/>
      <c r="FH274" s="473"/>
      <c r="FI274" s="473"/>
      <c r="FJ274" s="473"/>
      <c r="FK274" s="473"/>
      <c r="FL274" s="473"/>
      <c r="FM274" s="473"/>
      <c r="FN274" s="473"/>
      <c r="FO274" s="473"/>
      <c r="FP274" s="473"/>
      <c r="FQ274" s="473"/>
      <c r="FR274" s="473"/>
      <c r="FS274" s="473"/>
      <c r="FT274" s="473"/>
      <c r="FU274" s="473"/>
      <c r="FV274" s="473"/>
      <c r="FW274" s="473"/>
      <c r="FX274" s="473"/>
      <c r="FY274" s="473"/>
      <c r="FZ274" s="473"/>
      <c r="GA274" s="473"/>
      <c r="GB274" s="473"/>
      <c r="GC274" s="473"/>
      <c r="GD274" s="473"/>
      <c r="GE274" s="473"/>
      <c r="GF274" s="473"/>
      <c r="GG274" s="473"/>
      <c r="GH274" s="473"/>
      <c r="GI274" s="473"/>
      <c r="GJ274" s="473"/>
      <c r="GK274" s="473"/>
      <c r="GL274" s="473"/>
      <c r="GM274" s="473"/>
      <c r="GN274" s="473"/>
      <c r="GO274" s="473"/>
      <c r="GP274" s="473"/>
      <c r="GQ274" s="473"/>
      <c r="GR274" s="473"/>
      <c r="GS274" s="473"/>
      <c r="GT274" s="473"/>
      <c r="GU274" s="473"/>
      <c r="GV274" s="473"/>
      <c r="GW274" s="473"/>
      <c r="GX274" s="473"/>
      <c r="GY274" s="473"/>
      <c r="GZ274" s="473"/>
      <c r="HA274" s="473"/>
      <c r="HB274" s="473"/>
      <c r="HC274" s="473"/>
      <c r="HD274" s="473"/>
      <c r="HE274" s="473"/>
      <c r="HF274" s="473"/>
      <c r="HG274" s="473"/>
      <c r="HH274" s="473"/>
      <c r="HI274" s="473"/>
      <c r="HJ274" s="473"/>
      <c r="HK274" s="473"/>
      <c r="HL274" s="473"/>
      <c r="HM274" s="473"/>
      <c r="HN274" s="473"/>
      <c r="HO274" s="473"/>
      <c r="HP274" s="473"/>
      <c r="HQ274" s="473"/>
      <c r="HR274" s="473"/>
      <c r="HS274" s="473"/>
      <c r="HT274" s="473"/>
      <c r="HU274" s="473"/>
      <c r="HV274" s="473"/>
      <c r="HW274" s="473"/>
      <c r="HX274" s="473"/>
      <c r="HY274" s="473"/>
      <c r="HZ274" s="473"/>
      <c r="IA274" s="473"/>
      <c r="IB274" s="473"/>
      <c r="IC274" s="473"/>
      <c r="ID274" s="473"/>
      <c r="IE274" s="473"/>
      <c r="IF274" s="473"/>
      <c r="IG274" s="473"/>
      <c r="IH274" s="473"/>
      <c r="II274" s="473"/>
      <c r="IJ274" s="473"/>
      <c r="IK274" s="473"/>
      <c r="IL274" s="473"/>
      <c r="IM274" s="473"/>
      <c r="IN274" s="473"/>
    </row>
    <row r="275" spans="1:248" ht="16.5" customHeight="1" x14ac:dyDescent="0.2">
      <c r="A275" s="416"/>
      <c r="B275" s="419"/>
      <c r="C275" s="417"/>
      <c r="D275" s="417"/>
      <c r="E275" s="418"/>
      <c r="F275" s="418"/>
      <c r="G275" s="417"/>
      <c r="H275" s="417"/>
      <c r="I275" s="418"/>
      <c r="J275" s="473"/>
      <c r="K275" s="473"/>
      <c r="L275" s="473"/>
      <c r="M275" s="473"/>
      <c r="N275" s="473"/>
      <c r="O275" s="473"/>
      <c r="P275" s="473"/>
      <c r="Q275" s="473"/>
      <c r="R275" s="473"/>
      <c r="S275" s="473"/>
      <c r="T275" s="473"/>
      <c r="U275" s="473"/>
      <c r="V275" s="473"/>
      <c r="W275" s="473"/>
      <c r="X275" s="473"/>
      <c r="Y275" s="473"/>
      <c r="Z275" s="473"/>
      <c r="AA275" s="473"/>
      <c r="AB275" s="473"/>
      <c r="AC275" s="473"/>
      <c r="AD275" s="473"/>
      <c r="AE275" s="473"/>
      <c r="AF275" s="473"/>
      <c r="AG275" s="473"/>
      <c r="AH275" s="473"/>
      <c r="AI275" s="473"/>
      <c r="AJ275" s="473"/>
      <c r="AK275" s="473"/>
      <c r="AL275" s="473"/>
      <c r="AM275" s="473"/>
      <c r="AN275" s="473"/>
      <c r="AO275" s="473"/>
      <c r="AP275" s="473"/>
      <c r="AQ275" s="473"/>
      <c r="AR275" s="473"/>
      <c r="AS275" s="473"/>
      <c r="AT275" s="473"/>
      <c r="AU275" s="473"/>
      <c r="AV275" s="473"/>
      <c r="AW275" s="473"/>
      <c r="AX275" s="473"/>
      <c r="AY275" s="473"/>
      <c r="AZ275" s="473"/>
      <c r="BA275" s="473"/>
      <c r="BB275" s="473"/>
      <c r="BC275" s="473"/>
      <c r="BD275" s="473"/>
      <c r="BE275" s="473"/>
      <c r="BF275" s="473"/>
      <c r="BG275" s="473"/>
      <c r="BH275" s="473"/>
      <c r="BI275" s="473"/>
      <c r="BJ275" s="473"/>
      <c r="BK275" s="473"/>
      <c r="BL275" s="473"/>
      <c r="BM275" s="473"/>
      <c r="BN275" s="473"/>
      <c r="BO275" s="473"/>
      <c r="BP275" s="473"/>
      <c r="BQ275" s="473"/>
      <c r="BR275" s="473"/>
      <c r="BS275" s="473"/>
      <c r="BT275" s="473"/>
      <c r="BU275" s="473"/>
      <c r="BV275" s="473"/>
      <c r="BW275" s="473"/>
      <c r="BX275" s="473"/>
      <c r="BY275" s="473"/>
      <c r="BZ275" s="473"/>
      <c r="CA275" s="473"/>
      <c r="CB275" s="473"/>
      <c r="CC275" s="473"/>
      <c r="CD275" s="473"/>
      <c r="CE275" s="473"/>
      <c r="CF275" s="473"/>
      <c r="CG275" s="473"/>
      <c r="CH275" s="473"/>
      <c r="CI275" s="473"/>
      <c r="CJ275" s="473"/>
      <c r="CK275" s="473"/>
      <c r="CL275" s="473"/>
      <c r="CM275" s="473"/>
      <c r="CN275" s="473"/>
      <c r="CO275" s="473"/>
      <c r="CP275" s="473"/>
      <c r="CQ275" s="473"/>
      <c r="CR275" s="473"/>
      <c r="CS275" s="473"/>
      <c r="CT275" s="473"/>
      <c r="CU275" s="473"/>
      <c r="CV275" s="473"/>
      <c r="CW275" s="473"/>
      <c r="CX275" s="473"/>
      <c r="CY275" s="473"/>
      <c r="CZ275" s="473"/>
      <c r="DA275" s="473"/>
      <c r="DB275" s="473"/>
      <c r="DC275" s="473"/>
      <c r="DD275" s="473"/>
      <c r="DE275" s="473"/>
      <c r="DF275" s="473"/>
      <c r="DG275" s="473"/>
      <c r="DH275" s="473"/>
      <c r="DI275" s="473"/>
      <c r="DJ275" s="473"/>
      <c r="DK275" s="473"/>
      <c r="DL275" s="473"/>
      <c r="DM275" s="473"/>
      <c r="DN275" s="473"/>
      <c r="DO275" s="473"/>
      <c r="DP275" s="473"/>
      <c r="DQ275" s="473"/>
      <c r="DR275" s="473"/>
      <c r="DS275" s="473"/>
      <c r="DT275" s="473"/>
      <c r="DU275" s="473"/>
      <c r="DV275" s="473"/>
      <c r="DW275" s="473"/>
      <c r="DX275" s="473"/>
      <c r="DY275" s="473"/>
      <c r="DZ275" s="473"/>
      <c r="EA275" s="473"/>
      <c r="EB275" s="473"/>
      <c r="EC275" s="473"/>
      <c r="ED275" s="473"/>
      <c r="EE275" s="473"/>
      <c r="EF275" s="473"/>
      <c r="EG275" s="473"/>
      <c r="EH275" s="473"/>
      <c r="EI275" s="473"/>
      <c r="EJ275" s="473"/>
      <c r="EK275" s="473"/>
      <c r="EL275" s="473"/>
      <c r="EM275" s="473"/>
      <c r="EN275" s="473"/>
      <c r="EO275" s="473"/>
      <c r="EP275" s="473"/>
      <c r="EQ275" s="473"/>
      <c r="ER275" s="473"/>
      <c r="ES275" s="473"/>
      <c r="ET275" s="473"/>
      <c r="EU275" s="473"/>
      <c r="EV275" s="473"/>
      <c r="EW275" s="473"/>
      <c r="EX275" s="473"/>
      <c r="EY275" s="473"/>
      <c r="EZ275" s="473"/>
      <c r="FA275" s="473"/>
      <c r="FB275" s="473"/>
      <c r="FC275" s="473"/>
      <c r="FD275" s="473"/>
      <c r="FE275" s="473"/>
      <c r="FF275" s="473"/>
      <c r="FG275" s="473"/>
      <c r="FH275" s="473"/>
      <c r="FI275" s="473"/>
      <c r="FJ275" s="473"/>
      <c r="FK275" s="473"/>
      <c r="FL275" s="473"/>
      <c r="FM275" s="473"/>
      <c r="FN275" s="473"/>
      <c r="FO275" s="473"/>
      <c r="FP275" s="473"/>
      <c r="FQ275" s="473"/>
      <c r="FR275" s="473"/>
      <c r="FS275" s="473"/>
      <c r="FT275" s="473"/>
      <c r="FU275" s="473"/>
      <c r="FV275" s="473"/>
      <c r="FW275" s="473"/>
      <c r="FX275" s="473"/>
      <c r="FY275" s="473"/>
      <c r="FZ275" s="473"/>
      <c r="GA275" s="473"/>
      <c r="GB275" s="473"/>
      <c r="GC275" s="473"/>
      <c r="GD275" s="473"/>
      <c r="GE275" s="473"/>
      <c r="GF275" s="473"/>
      <c r="GG275" s="473"/>
      <c r="GH275" s="473"/>
      <c r="GI275" s="473"/>
      <c r="GJ275" s="473"/>
      <c r="GK275" s="473"/>
      <c r="GL275" s="473"/>
      <c r="GM275" s="473"/>
      <c r="GN275" s="473"/>
      <c r="GO275" s="473"/>
      <c r="GP275" s="473"/>
      <c r="GQ275" s="473"/>
      <c r="GR275" s="473"/>
      <c r="GS275" s="473"/>
      <c r="GT275" s="473"/>
      <c r="GU275" s="473"/>
      <c r="GV275" s="473"/>
      <c r="GW275" s="473"/>
      <c r="GX275" s="473"/>
      <c r="GY275" s="473"/>
      <c r="GZ275" s="473"/>
      <c r="HA275" s="473"/>
      <c r="HB275" s="473"/>
      <c r="HC275" s="473"/>
      <c r="HD275" s="473"/>
      <c r="HE275" s="473"/>
      <c r="HF275" s="473"/>
      <c r="HG275" s="473"/>
      <c r="HH275" s="473"/>
      <c r="HI275" s="473"/>
      <c r="HJ275" s="473"/>
      <c r="HK275" s="473"/>
      <c r="HL275" s="473"/>
      <c r="HM275" s="473"/>
      <c r="HN275" s="473"/>
      <c r="HO275" s="473"/>
      <c r="HP275" s="473"/>
      <c r="HQ275" s="473"/>
      <c r="HR275" s="473"/>
      <c r="HS275" s="473"/>
      <c r="HT275" s="473"/>
      <c r="HU275" s="473"/>
      <c r="HV275" s="473"/>
      <c r="HW275" s="473"/>
      <c r="HX275" s="473"/>
      <c r="HY275" s="473"/>
      <c r="HZ275" s="473"/>
      <c r="IA275" s="473"/>
      <c r="IB275" s="473"/>
      <c r="IC275" s="473"/>
      <c r="ID275" s="473"/>
      <c r="IE275" s="473"/>
      <c r="IF275" s="473"/>
      <c r="IG275" s="473"/>
      <c r="IH275" s="473"/>
      <c r="II275" s="473"/>
      <c r="IJ275" s="473"/>
      <c r="IK275" s="473"/>
      <c r="IL275" s="473"/>
      <c r="IM275" s="473"/>
      <c r="IN275" s="473"/>
    </row>
    <row r="276" spans="1:248" ht="15" customHeight="1" x14ac:dyDescent="0.2">
      <c r="A276" s="416"/>
      <c r="B276" s="419"/>
      <c r="C276" s="417"/>
      <c r="D276" s="417"/>
      <c r="E276" s="418"/>
      <c r="F276" s="418"/>
      <c r="G276" s="417"/>
      <c r="H276" s="417"/>
      <c r="I276" s="418"/>
      <c r="J276" s="473"/>
      <c r="K276" s="473"/>
      <c r="L276" s="473"/>
      <c r="M276" s="473"/>
      <c r="N276" s="473"/>
      <c r="O276" s="473"/>
      <c r="P276" s="473"/>
      <c r="Q276" s="473"/>
      <c r="R276" s="473"/>
      <c r="S276" s="473"/>
      <c r="T276" s="473"/>
      <c r="U276" s="473"/>
      <c r="V276" s="473"/>
      <c r="W276" s="473"/>
      <c r="X276" s="473"/>
      <c r="Y276" s="473"/>
      <c r="Z276" s="473"/>
      <c r="AA276" s="473"/>
      <c r="AB276" s="473"/>
      <c r="AC276" s="473"/>
      <c r="AD276" s="473"/>
      <c r="AE276" s="473"/>
      <c r="AF276" s="473"/>
      <c r="AG276" s="473"/>
      <c r="AH276" s="473"/>
      <c r="AI276" s="473"/>
      <c r="AJ276" s="473"/>
      <c r="AK276" s="473"/>
      <c r="AL276" s="473"/>
      <c r="AM276" s="473"/>
      <c r="AN276" s="473"/>
      <c r="AO276" s="473"/>
      <c r="AP276" s="473"/>
      <c r="AQ276" s="473"/>
      <c r="AR276" s="473"/>
      <c r="AS276" s="473"/>
      <c r="AT276" s="473"/>
      <c r="AU276" s="473"/>
      <c r="AV276" s="473"/>
      <c r="AW276" s="473"/>
      <c r="AX276" s="473"/>
      <c r="AY276" s="473"/>
      <c r="AZ276" s="473"/>
      <c r="BA276" s="473"/>
      <c r="BB276" s="473"/>
      <c r="BC276" s="473"/>
      <c r="BD276" s="473"/>
      <c r="BE276" s="473"/>
      <c r="BF276" s="473"/>
      <c r="BG276" s="473"/>
      <c r="BH276" s="473"/>
      <c r="BI276" s="473"/>
      <c r="BJ276" s="473"/>
      <c r="BK276" s="473"/>
      <c r="BL276" s="473"/>
      <c r="BM276" s="473"/>
      <c r="BN276" s="473"/>
      <c r="BO276" s="473"/>
      <c r="BP276" s="473"/>
      <c r="BQ276" s="473"/>
      <c r="BR276" s="473"/>
      <c r="BS276" s="473"/>
      <c r="BT276" s="473"/>
      <c r="BU276" s="473"/>
      <c r="BV276" s="473"/>
      <c r="BW276" s="473"/>
      <c r="BX276" s="473"/>
      <c r="BY276" s="473"/>
      <c r="BZ276" s="473"/>
      <c r="CA276" s="473"/>
      <c r="CB276" s="473"/>
      <c r="CC276" s="473"/>
      <c r="CD276" s="473"/>
      <c r="CE276" s="473"/>
      <c r="CF276" s="473"/>
      <c r="CG276" s="473"/>
      <c r="CH276" s="473"/>
      <c r="CI276" s="473"/>
      <c r="CJ276" s="473"/>
      <c r="CK276" s="473"/>
      <c r="CL276" s="473"/>
      <c r="CM276" s="473"/>
      <c r="CN276" s="473"/>
      <c r="CO276" s="473"/>
      <c r="CP276" s="473"/>
      <c r="CQ276" s="473"/>
      <c r="CR276" s="473"/>
      <c r="CS276" s="473"/>
      <c r="CT276" s="473"/>
      <c r="CU276" s="473"/>
      <c r="CV276" s="473"/>
      <c r="CW276" s="473"/>
      <c r="CX276" s="473"/>
      <c r="CY276" s="473"/>
      <c r="CZ276" s="473"/>
      <c r="DA276" s="473"/>
      <c r="DB276" s="473"/>
      <c r="DC276" s="473"/>
      <c r="DD276" s="473"/>
      <c r="DE276" s="473"/>
      <c r="DF276" s="473"/>
      <c r="DG276" s="473"/>
      <c r="DH276" s="473"/>
      <c r="DI276" s="473"/>
      <c r="DJ276" s="473"/>
      <c r="DK276" s="473"/>
      <c r="DL276" s="473"/>
      <c r="DM276" s="473"/>
      <c r="DN276" s="473"/>
      <c r="DO276" s="473"/>
      <c r="DP276" s="473"/>
      <c r="DQ276" s="473"/>
      <c r="DR276" s="473"/>
      <c r="DS276" s="473"/>
      <c r="DT276" s="473"/>
      <c r="DU276" s="473"/>
      <c r="DV276" s="473"/>
      <c r="DW276" s="473"/>
      <c r="DX276" s="473"/>
      <c r="DY276" s="473"/>
      <c r="DZ276" s="473"/>
      <c r="EA276" s="473"/>
      <c r="EB276" s="473"/>
      <c r="EC276" s="473"/>
      <c r="ED276" s="473"/>
      <c r="EE276" s="473"/>
      <c r="EF276" s="473"/>
      <c r="EG276" s="473"/>
      <c r="EH276" s="473"/>
      <c r="EI276" s="473"/>
      <c r="EJ276" s="473"/>
      <c r="EK276" s="473"/>
      <c r="EL276" s="473"/>
      <c r="EM276" s="473"/>
      <c r="EN276" s="473"/>
      <c r="EO276" s="473"/>
      <c r="EP276" s="473"/>
      <c r="EQ276" s="473"/>
      <c r="ER276" s="473"/>
      <c r="ES276" s="473"/>
      <c r="ET276" s="473"/>
      <c r="EU276" s="473"/>
      <c r="EV276" s="473"/>
      <c r="EW276" s="473"/>
      <c r="EX276" s="473"/>
      <c r="EY276" s="473"/>
      <c r="EZ276" s="473"/>
      <c r="FA276" s="473"/>
      <c r="FB276" s="473"/>
      <c r="FC276" s="473"/>
      <c r="FD276" s="473"/>
      <c r="FE276" s="473"/>
      <c r="FF276" s="473"/>
      <c r="FG276" s="473"/>
      <c r="FH276" s="473"/>
      <c r="FI276" s="473"/>
      <c r="FJ276" s="473"/>
      <c r="FK276" s="473"/>
      <c r="FL276" s="473"/>
      <c r="FM276" s="473"/>
      <c r="FN276" s="473"/>
      <c r="FO276" s="473"/>
      <c r="FP276" s="473"/>
      <c r="FQ276" s="473"/>
      <c r="FR276" s="473"/>
      <c r="FS276" s="473"/>
      <c r="FT276" s="473"/>
      <c r="FU276" s="473"/>
      <c r="FV276" s="473"/>
      <c r="FW276" s="473"/>
      <c r="FX276" s="473"/>
      <c r="FY276" s="473"/>
      <c r="FZ276" s="473"/>
      <c r="GA276" s="473"/>
      <c r="GB276" s="473"/>
      <c r="GC276" s="473"/>
      <c r="GD276" s="473"/>
      <c r="GE276" s="473"/>
      <c r="GF276" s="473"/>
      <c r="GG276" s="473"/>
      <c r="GH276" s="473"/>
      <c r="GI276" s="473"/>
      <c r="GJ276" s="473"/>
      <c r="GK276" s="473"/>
      <c r="GL276" s="473"/>
      <c r="GM276" s="473"/>
      <c r="GN276" s="473"/>
      <c r="GO276" s="473"/>
      <c r="GP276" s="473"/>
      <c r="GQ276" s="473"/>
      <c r="GR276" s="473"/>
      <c r="GS276" s="473"/>
      <c r="GT276" s="473"/>
      <c r="GU276" s="473"/>
      <c r="GV276" s="473"/>
      <c r="GW276" s="473"/>
      <c r="GX276" s="473"/>
      <c r="GY276" s="473"/>
      <c r="GZ276" s="473"/>
      <c r="HA276" s="473"/>
      <c r="HB276" s="473"/>
      <c r="HC276" s="473"/>
      <c r="HD276" s="473"/>
      <c r="HE276" s="473"/>
      <c r="HF276" s="473"/>
      <c r="HG276" s="473"/>
      <c r="HH276" s="473"/>
      <c r="HI276" s="473"/>
      <c r="HJ276" s="473"/>
      <c r="HK276" s="473"/>
      <c r="HL276" s="473"/>
      <c r="HM276" s="473"/>
      <c r="HN276" s="473"/>
      <c r="HO276" s="473"/>
      <c r="HP276" s="473"/>
      <c r="HQ276" s="473"/>
      <c r="HR276" s="473"/>
      <c r="HS276" s="473"/>
      <c r="HT276" s="473"/>
      <c r="HU276" s="473"/>
      <c r="HV276" s="473"/>
      <c r="HW276" s="473"/>
      <c r="HX276" s="473"/>
      <c r="HY276" s="473"/>
      <c r="HZ276" s="473"/>
      <c r="IA276" s="473"/>
      <c r="IB276" s="473"/>
      <c r="IC276" s="473"/>
      <c r="ID276" s="473"/>
      <c r="IE276" s="473"/>
      <c r="IF276" s="473"/>
      <c r="IG276" s="473"/>
      <c r="IH276" s="473"/>
      <c r="II276" s="473"/>
      <c r="IJ276" s="473"/>
      <c r="IK276" s="473"/>
      <c r="IL276" s="473"/>
      <c r="IM276" s="473"/>
      <c r="IN276" s="473"/>
    </row>
    <row r="277" spans="1:248" ht="15.75" customHeight="1" x14ac:dyDescent="0.2">
      <c r="A277" s="416"/>
      <c r="B277" s="419"/>
      <c r="C277" s="417"/>
      <c r="D277" s="417"/>
      <c r="E277" s="418"/>
      <c r="F277" s="418"/>
      <c r="G277" s="417"/>
      <c r="H277" s="417"/>
      <c r="I277" s="418"/>
      <c r="J277" s="473"/>
      <c r="K277" s="473"/>
      <c r="L277" s="473"/>
      <c r="M277" s="473"/>
      <c r="N277" s="473"/>
      <c r="O277" s="473"/>
      <c r="P277" s="473"/>
      <c r="Q277" s="473"/>
      <c r="R277" s="473"/>
      <c r="S277" s="473"/>
      <c r="T277" s="473"/>
      <c r="U277" s="473"/>
      <c r="V277" s="473"/>
      <c r="W277" s="473"/>
      <c r="X277" s="473"/>
      <c r="Y277" s="473"/>
      <c r="Z277" s="473"/>
      <c r="AA277" s="473"/>
      <c r="AB277" s="473"/>
      <c r="AC277" s="473"/>
      <c r="AD277" s="473"/>
      <c r="AE277" s="473"/>
      <c r="AF277" s="473"/>
      <c r="AG277" s="473"/>
      <c r="AH277" s="473"/>
      <c r="AI277" s="473"/>
      <c r="AJ277" s="473"/>
      <c r="AK277" s="473"/>
      <c r="AL277" s="473"/>
      <c r="AM277" s="473"/>
      <c r="AN277" s="473"/>
      <c r="AO277" s="473"/>
      <c r="AP277" s="473"/>
      <c r="AQ277" s="473"/>
      <c r="AR277" s="473"/>
      <c r="AS277" s="473"/>
      <c r="AT277" s="473"/>
      <c r="AU277" s="473"/>
      <c r="AV277" s="473"/>
      <c r="AW277" s="473"/>
      <c r="AX277" s="473"/>
      <c r="AY277" s="473"/>
      <c r="AZ277" s="473"/>
      <c r="BA277" s="473"/>
      <c r="BB277" s="473"/>
      <c r="BC277" s="473"/>
      <c r="BD277" s="473"/>
      <c r="BE277" s="473"/>
      <c r="BF277" s="473"/>
      <c r="BG277" s="473"/>
      <c r="BH277" s="473"/>
      <c r="BI277" s="473"/>
      <c r="BJ277" s="473"/>
      <c r="BK277" s="473"/>
      <c r="BL277" s="473"/>
      <c r="BM277" s="473"/>
      <c r="BN277" s="473"/>
      <c r="BO277" s="473"/>
      <c r="BP277" s="473"/>
      <c r="BQ277" s="473"/>
      <c r="BR277" s="473"/>
      <c r="BS277" s="473"/>
      <c r="BT277" s="473"/>
      <c r="BU277" s="473"/>
      <c r="BV277" s="473"/>
      <c r="BW277" s="473"/>
      <c r="BX277" s="473"/>
      <c r="BY277" s="473"/>
      <c r="BZ277" s="473"/>
      <c r="CA277" s="473"/>
      <c r="CB277" s="473"/>
      <c r="CC277" s="473"/>
      <c r="CD277" s="473"/>
      <c r="CE277" s="473"/>
      <c r="CF277" s="473"/>
      <c r="CG277" s="473"/>
      <c r="CH277" s="473"/>
      <c r="CI277" s="473"/>
      <c r="CJ277" s="473"/>
      <c r="CK277" s="473"/>
      <c r="CL277" s="473"/>
      <c r="CM277" s="473"/>
      <c r="CN277" s="473"/>
      <c r="CO277" s="473"/>
      <c r="CP277" s="473"/>
      <c r="CQ277" s="473"/>
      <c r="CR277" s="473"/>
      <c r="CS277" s="473"/>
      <c r="CT277" s="473"/>
      <c r="CU277" s="473"/>
      <c r="CV277" s="473"/>
      <c r="CW277" s="473"/>
      <c r="CX277" s="473"/>
      <c r="CY277" s="473"/>
      <c r="CZ277" s="473"/>
      <c r="DA277" s="473"/>
      <c r="DB277" s="473"/>
      <c r="DC277" s="473"/>
      <c r="DD277" s="473"/>
      <c r="DE277" s="473"/>
      <c r="DF277" s="473"/>
      <c r="DG277" s="473"/>
      <c r="DH277" s="473"/>
      <c r="DI277" s="473"/>
      <c r="DJ277" s="473"/>
      <c r="DK277" s="473"/>
      <c r="DL277" s="473"/>
      <c r="DM277" s="473"/>
      <c r="DN277" s="473"/>
      <c r="DO277" s="473"/>
      <c r="DP277" s="473"/>
      <c r="DQ277" s="473"/>
      <c r="DR277" s="473"/>
      <c r="DS277" s="473"/>
      <c r="DT277" s="473"/>
      <c r="DU277" s="473"/>
      <c r="DV277" s="473"/>
      <c r="DW277" s="473"/>
      <c r="DX277" s="473"/>
      <c r="DY277" s="473"/>
      <c r="DZ277" s="473"/>
      <c r="EA277" s="473"/>
      <c r="EB277" s="473"/>
      <c r="EC277" s="473"/>
      <c r="ED277" s="473"/>
      <c r="EE277" s="473"/>
      <c r="EF277" s="473"/>
      <c r="EG277" s="473"/>
      <c r="EH277" s="473"/>
      <c r="EI277" s="473"/>
      <c r="EJ277" s="473"/>
      <c r="EK277" s="473"/>
      <c r="EL277" s="473"/>
      <c r="EM277" s="473"/>
      <c r="EN277" s="473"/>
      <c r="EO277" s="473"/>
      <c r="EP277" s="473"/>
      <c r="EQ277" s="473"/>
      <c r="ER277" s="473"/>
      <c r="ES277" s="473"/>
      <c r="ET277" s="473"/>
      <c r="EU277" s="473"/>
      <c r="EV277" s="473"/>
      <c r="EW277" s="473"/>
      <c r="EX277" s="473"/>
      <c r="EY277" s="473"/>
      <c r="EZ277" s="473"/>
      <c r="FA277" s="473"/>
      <c r="FB277" s="473"/>
      <c r="FC277" s="473"/>
      <c r="FD277" s="473"/>
      <c r="FE277" s="473"/>
      <c r="FF277" s="473"/>
      <c r="FG277" s="473"/>
      <c r="FH277" s="473"/>
      <c r="FI277" s="473"/>
      <c r="FJ277" s="473"/>
      <c r="FK277" s="473"/>
      <c r="FL277" s="473"/>
      <c r="FM277" s="473"/>
      <c r="FN277" s="473"/>
      <c r="FO277" s="473"/>
      <c r="FP277" s="473"/>
      <c r="FQ277" s="473"/>
      <c r="FR277" s="473"/>
      <c r="FS277" s="473"/>
      <c r="FT277" s="473"/>
      <c r="FU277" s="473"/>
      <c r="FV277" s="473"/>
      <c r="FW277" s="473"/>
      <c r="FX277" s="473"/>
      <c r="FY277" s="473"/>
      <c r="FZ277" s="473"/>
      <c r="GA277" s="473"/>
      <c r="GB277" s="473"/>
      <c r="GC277" s="473"/>
      <c r="GD277" s="473"/>
      <c r="GE277" s="473"/>
      <c r="GF277" s="473"/>
      <c r="GG277" s="473"/>
      <c r="GH277" s="473"/>
      <c r="GI277" s="473"/>
      <c r="GJ277" s="473"/>
      <c r="GK277" s="473"/>
      <c r="GL277" s="473"/>
      <c r="GM277" s="473"/>
      <c r="GN277" s="473"/>
      <c r="GO277" s="473"/>
      <c r="GP277" s="473"/>
      <c r="GQ277" s="473"/>
      <c r="GR277" s="473"/>
      <c r="GS277" s="473"/>
      <c r="GT277" s="473"/>
      <c r="GU277" s="473"/>
      <c r="GV277" s="473"/>
      <c r="GW277" s="473"/>
      <c r="GX277" s="473"/>
      <c r="GY277" s="473"/>
      <c r="GZ277" s="473"/>
      <c r="HA277" s="473"/>
      <c r="HB277" s="473"/>
      <c r="HC277" s="473"/>
      <c r="HD277" s="473"/>
      <c r="HE277" s="473"/>
      <c r="HF277" s="473"/>
      <c r="HG277" s="473"/>
      <c r="HH277" s="473"/>
      <c r="HI277" s="473"/>
      <c r="HJ277" s="473"/>
      <c r="HK277" s="473"/>
      <c r="HL277" s="473"/>
      <c r="HM277" s="473"/>
      <c r="HN277" s="473"/>
      <c r="HO277" s="473"/>
      <c r="HP277" s="473"/>
      <c r="HQ277" s="473"/>
      <c r="HR277" s="473"/>
      <c r="HS277" s="473"/>
      <c r="HT277" s="473"/>
      <c r="HU277" s="473"/>
      <c r="HV277" s="473"/>
      <c r="HW277" s="473"/>
      <c r="HX277" s="473"/>
      <c r="HY277" s="473"/>
      <c r="HZ277" s="473"/>
      <c r="IA277" s="473"/>
      <c r="IB277" s="473"/>
      <c r="IC277" s="473"/>
      <c r="ID277" s="473"/>
      <c r="IE277" s="473"/>
      <c r="IF277" s="473"/>
      <c r="IG277" s="473"/>
      <c r="IH277" s="473"/>
      <c r="II277" s="473"/>
      <c r="IJ277" s="473"/>
      <c r="IK277" s="473"/>
      <c r="IL277" s="473"/>
      <c r="IM277" s="473"/>
      <c r="IN277" s="473"/>
    </row>
    <row r="278" spans="1:248" ht="19.149999999999999" customHeight="1" x14ac:dyDescent="0.2">
      <c r="A278" s="416"/>
      <c r="B278" s="419"/>
      <c r="C278" s="417"/>
      <c r="D278" s="417"/>
      <c r="E278" s="418"/>
      <c r="F278" s="418"/>
      <c r="G278" s="417"/>
      <c r="H278" s="417"/>
      <c r="I278" s="418"/>
      <c r="J278" s="473"/>
      <c r="K278" s="473"/>
      <c r="L278" s="473"/>
      <c r="M278" s="473"/>
      <c r="N278" s="473"/>
      <c r="O278" s="473"/>
      <c r="P278" s="473"/>
      <c r="Q278" s="473"/>
      <c r="R278" s="473"/>
      <c r="S278" s="473"/>
      <c r="T278" s="473"/>
      <c r="U278" s="473"/>
      <c r="V278" s="473"/>
      <c r="W278" s="473"/>
      <c r="X278" s="473"/>
      <c r="Y278" s="473"/>
      <c r="Z278" s="473"/>
      <c r="AA278" s="473"/>
      <c r="AB278" s="473"/>
      <c r="AC278" s="473"/>
      <c r="AD278" s="473"/>
      <c r="AE278" s="473"/>
      <c r="AF278" s="473"/>
      <c r="AG278" s="473"/>
      <c r="AH278" s="473"/>
      <c r="AI278" s="473"/>
      <c r="AJ278" s="473"/>
      <c r="AK278" s="473"/>
      <c r="AL278" s="473"/>
      <c r="AM278" s="473"/>
      <c r="AN278" s="473"/>
      <c r="AO278" s="473"/>
      <c r="AP278" s="473"/>
      <c r="AQ278" s="473"/>
      <c r="AR278" s="473"/>
      <c r="AS278" s="473"/>
      <c r="AT278" s="473"/>
      <c r="AU278" s="473"/>
      <c r="AV278" s="473"/>
      <c r="AW278" s="473"/>
      <c r="AX278" s="473"/>
      <c r="AY278" s="473"/>
      <c r="AZ278" s="473"/>
      <c r="BA278" s="473"/>
      <c r="BB278" s="473"/>
      <c r="BC278" s="473"/>
      <c r="BD278" s="473"/>
      <c r="BE278" s="473"/>
      <c r="BF278" s="473"/>
      <c r="BG278" s="473"/>
      <c r="BH278" s="473"/>
      <c r="BI278" s="473"/>
      <c r="BJ278" s="473"/>
      <c r="BK278" s="473"/>
      <c r="BL278" s="473"/>
      <c r="BM278" s="473"/>
      <c r="BN278" s="473"/>
      <c r="BO278" s="473"/>
      <c r="BP278" s="473"/>
      <c r="BQ278" s="473"/>
      <c r="BR278" s="473"/>
      <c r="BS278" s="473"/>
      <c r="BT278" s="473"/>
      <c r="BU278" s="473"/>
      <c r="BV278" s="473"/>
      <c r="BW278" s="473"/>
      <c r="BX278" s="473"/>
      <c r="BY278" s="473"/>
      <c r="BZ278" s="473"/>
      <c r="CA278" s="473"/>
      <c r="CB278" s="473"/>
      <c r="CC278" s="473"/>
      <c r="CD278" s="473"/>
      <c r="CE278" s="473"/>
      <c r="CF278" s="473"/>
      <c r="CG278" s="473"/>
      <c r="CH278" s="473"/>
      <c r="CI278" s="473"/>
      <c r="CJ278" s="473"/>
      <c r="CK278" s="473"/>
      <c r="CL278" s="473"/>
      <c r="CM278" s="473"/>
      <c r="CN278" s="473"/>
      <c r="CO278" s="473"/>
      <c r="CP278" s="473"/>
      <c r="CQ278" s="473"/>
      <c r="CR278" s="473"/>
      <c r="CS278" s="473"/>
      <c r="CT278" s="473"/>
      <c r="CU278" s="473"/>
      <c r="CV278" s="473"/>
      <c r="CW278" s="473"/>
      <c r="CX278" s="473"/>
      <c r="CY278" s="473"/>
      <c r="CZ278" s="473"/>
      <c r="DA278" s="473"/>
      <c r="DB278" s="473"/>
      <c r="DC278" s="473"/>
      <c r="DD278" s="473"/>
      <c r="DE278" s="473"/>
      <c r="DF278" s="473"/>
      <c r="DG278" s="473"/>
      <c r="DH278" s="473"/>
      <c r="DI278" s="473"/>
      <c r="DJ278" s="473"/>
      <c r="DK278" s="473"/>
      <c r="DL278" s="473"/>
      <c r="DM278" s="473"/>
      <c r="DN278" s="473"/>
      <c r="DO278" s="473"/>
      <c r="DP278" s="473"/>
      <c r="DQ278" s="473"/>
      <c r="DR278" s="473"/>
      <c r="DS278" s="473"/>
      <c r="DT278" s="473"/>
      <c r="DU278" s="473"/>
      <c r="DV278" s="473"/>
      <c r="DW278" s="473"/>
      <c r="DX278" s="473"/>
      <c r="DY278" s="473"/>
      <c r="DZ278" s="473"/>
      <c r="EA278" s="473"/>
      <c r="EB278" s="473"/>
      <c r="EC278" s="473"/>
      <c r="ED278" s="473"/>
      <c r="EE278" s="473"/>
      <c r="EF278" s="473"/>
      <c r="EG278" s="473"/>
      <c r="EH278" s="473"/>
      <c r="EI278" s="473"/>
      <c r="EJ278" s="473"/>
      <c r="EK278" s="473"/>
      <c r="EL278" s="473"/>
      <c r="EM278" s="473"/>
      <c r="EN278" s="473"/>
      <c r="EO278" s="473"/>
      <c r="EP278" s="473"/>
      <c r="EQ278" s="473"/>
      <c r="ER278" s="473"/>
      <c r="ES278" s="473"/>
      <c r="ET278" s="473"/>
      <c r="EU278" s="473"/>
      <c r="EV278" s="473"/>
      <c r="EW278" s="473"/>
      <c r="EX278" s="473"/>
      <c r="EY278" s="473"/>
      <c r="EZ278" s="473"/>
      <c r="FA278" s="473"/>
      <c r="FB278" s="473"/>
      <c r="FC278" s="473"/>
      <c r="FD278" s="473"/>
      <c r="FE278" s="473"/>
      <c r="FF278" s="473"/>
      <c r="FG278" s="473"/>
      <c r="FH278" s="473"/>
      <c r="FI278" s="473"/>
      <c r="FJ278" s="473"/>
      <c r="FK278" s="473"/>
      <c r="FL278" s="473"/>
      <c r="FM278" s="473"/>
      <c r="FN278" s="473"/>
      <c r="FO278" s="473"/>
      <c r="FP278" s="473"/>
      <c r="FQ278" s="473"/>
      <c r="FR278" s="473"/>
      <c r="FS278" s="473"/>
      <c r="FT278" s="473"/>
      <c r="FU278" s="473"/>
      <c r="FV278" s="473"/>
      <c r="FW278" s="473"/>
      <c r="FX278" s="473"/>
      <c r="FY278" s="473"/>
      <c r="FZ278" s="473"/>
      <c r="GA278" s="473"/>
      <c r="GB278" s="473"/>
      <c r="GC278" s="473"/>
      <c r="GD278" s="473"/>
      <c r="GE278" s="473"/>
      <c r="GF278" s="473"/>
      <c r="GG278" s="473"/>
      <c r="GH278" s="473"/>
      <c r="GI278" s="473"/>
      <c r="GJ278" s="473"/>
      <c r="GK278" s="473"/>
      <c r="GL278" s="473"/>
      <c r="GM278" s="473"/>
      <c r="GN278" s="473"/>
      <c r="GO278" s="473"/>
      <c r="GP278" s="473"/>
      <c r="GQ278" s="473"/>
      <c r="GR278" s="473"/>
      <c r="GS278" s="473"/>
      <c r="GT278" s="473"/>
      <c r="GU278" s="473"/>
      <c r="GV278" s="473"/>
      <c r="GW278" s="473"/>
      <c r="GX278" s="473"/>
      <c r="GY278" s="473"/>
      <c r="GZ278" s="473"/>
      <c r="HA278" s="473"/>
      <c r="HB278" s="473"/>
      <c r="HC278" s="473"/>
      <c r="HD278" s="473"/>
      <c r="HE278" s="473"/>
      <c r="HF278" s="473"/>
      <c r="HG278" s="473"/>
      <c r="HH278" s="473"/>
      <c r="HI278" s="473"/>
      <c r="HJ278" s="473"/>
      <c r="HK278" s="473"/>
      <c r="HL278" s="473"/>
      <c r="HM278" s="473"/>
      <c r="HN278" s="473"/>
      <c r="HO278" s="473"/>
      <c r="HP278" s="473"/>
      <c r="HQ278" s="473"/>
      <c r="HR278" s="473"/>
      <c r="HS278" s="473"/>
      <c r="HT278" s="473"/>
      <c r="HU278" s="473"/>
      <c r="HV278" s="473"/>
      <c r="HW278" s="473"/>
      <c r="HX278" s="473"/>
      <c r="HY278" s="473"/>
      <c r="HZ278" s="473"/>
      <c r="IA278" s="473"/>
      <c r="IB278" s="473"/>
      <c r="IC278" s="473"/>
      <c r="ID278" s="473"/>
      <c r="IE278" s="473"/>
      <c r="IF278" s="473"/>
      <c r="IG278" s="473"/>
      <c r="IH278" s="473"/>
      <c r="II278" s="473"/>
      <c r="IJ278" s="473"/>
      <c r="IK278" s="473"/>
      <c r="IL278" s="473"/>
      <c r="IM278" s="473"/>
      <c r="IN278" s="473"/>
    </row>
    <row r="279" spans="1:248" ht="16.5" customHeight="1" x14ac:dyDescent="0.2">
      <c r="A279" s="293"/>
      <c r="H279" s="636" t="s">
        <v>318</v>
      </c>
      <c r="I279" s="636"/>
    </row>
    <row r="280" spans="1:248" ht="15.75" customHeight="1" thickBot="1" x14ac:dyDescent="0.25">
      <c r="A280" s="293"/>
      <c r="I280" s="468" t="s">
        <v>260</v>
      </c>
    </row>
    <row r="281" spans="1:248" ht="21.95" customHeight="1" thickBot="1" x14ac:dyDescent="0.25">
      <c r="A281" s="629" t="s">
        <v>261</v>
      </c>
      <c r="B281" s="631" t="s">
        <v>114</v>
      </c>
      <c r="C281" s="632"/>
      <c r="D281" s="632"/>
      <c r="E281" s="637"/>
      <c r="F281" s="631" t="s">
        <v>319</v>
      </c>
      <c r="G281" s="632"/>
      <c r="H281" s="632"/>
      <c r="I281" s="637"/>
    </row>
    <row r="282" spans="1:248" ht="36.75" thickBot="1" x14ac:dyDescent="0.25">
      <c r="A282" s="630"/>
      <c r="B282" s="300" t="s">
        <v>53</v>
      </c>
      <c r="C282" s="300" t="s">
        <v>264</v>
      </c>
      <c r="D282" s="301" t="s">
        <v>240</v>
      </c>
      <c r="E282" s="302" t="s">
        <v>238</v>
      </c>
      <c r="F282" s="300" t="s">
        <v>53</v>
      </c>
      <c r="G282" s="300" t="s">
        <v>264</v>
      </c>
      <c r="H282" s="301" t="s">
        <v>240</v>
      </c>
      <c r="I282" s="303" t="s">
        <v>238</v>
      </c>
    </row>
    <row r="283" spans="1:248" ht="24.95" customHeight="1" thickBot="1" x14ac:dyDescent="0.25">
      <c r="A283" s="420" t="s">
        <v>265</v>
      </c>
      <c r="B283" s="309">
        <f>SUM(B284:B288)</f>
        <v>158570</v>
      </c>
      <c r="C283" s="306">
        <f>SUM(C284:C288)</f>
        <v>115987</v>
      </c>
      <c r="D283" s="307">
        <f>SUM(D284:D288)</f>
        <v>91464.28</v>
      </c>
      <c r="E283" s="310">
        <f t="shared" ref="E283:E321" si="44">D283/C283*100</f>
        <v>78.85735470354436</v>
      </c>
      <c r="F283" s="407">
        <f>SUM(F284:F288)</f>
        <v>1120719</v>
      </c>
      <c r="G283" s="408">
        <f>SUM(G284:G288)</f>
        <v>883963</v>
      </c>
      <c r="H283" s="409">
        <f>SUM(H284:H288)</f>
        <v>866561.16999999993</v>
      </c>
      <c r="I283" s="310">
        <f>H283/G283*100</f>
        <v>98.031384797779992</v>
      </c>
    </row>
    <row r="284" spans="1:248" ht="21.75" customHeight="1" x14ac:dyDescent="0.2">
      <c r="A284" s="421" t="s">
        <v>266</v>
      </c>
      <c r="B284" s="346">
        <v>70460</v>
      </c>
      <c r="C284" s="350">
        <v>44697</v>
      </c>
      <c r="D284" s="348">
        <v>39308.629999999997</v>
      </c>
      <c r="E284" s="351">
        <f t="shared" si="44"/>
        <v>87.944671901917346</v>
      </c>
      <c r="F284" s="346">
        <f t="shared" ref="F284:H288" si="45">B14+F14+B70+F70+B125+F125+B181+F181+B233+F233+B284</f>
        <v>469400</v>
      </c>
      <c r="G284" s="479">
        <f t="shared" si="45"/>
        <v>331568</v>
      </c>
      <c r="H284" s="480">
        <f t="shared" si="45"/>
        <v>321402.38</v>
      </c>
      <c r="I284" s="351">
        <f>H284/G284*100</f>
        <v>96.934076871109397</v>
      </c>
      <c r="J284" s="473"/>
      <c r="K284" s="473"/>
      <c r="L284" s="473"/>
      <c r="M284" s="473"/>
      <c r="N284" s="473"/>
      <c r="O284" s="473"/>
      <c r="P284" s="473"/>
      <c r="Q284" s="473"/>
      <c r="R284" s="473"/>
      <c r="S284" s="473"/>
      <c r="T284" s="473"/>
      <c r="U284" s="473"/>
      <c r="V284" s="473"/>
      <c r="W284" s="473"/>
      <c r="X284" s="473"/>
      <c r="Y284" s="473"/>
      <c r="Z284" s="473"/>
      <c r="AA284" s="473"/>
      <c r="AB284" s="473"/>
      <c r="AC284" s="473"/>
      <c r="AD284" s="473"/>
      <c r="AE284" s="473"/>
      <c r="AF284" s="473"/>
      <c r="AG284" s="473"/>
      <c r="AH284" s="473"/>
      <c r="AI284" s="473"/>
      <c r="AJ284" s="473"/>
      <c r="AK284" s="473"/>
      <c r="AL284" s="473"/>
      <c r="AM284" s="473"/>
      <c r="AN284" s="473"/>
      <c r="AO284" s="473"/>
      <c r="AP284" s="473"/>
      <c r="AQ284" s="473"/>
      <c r="AR284" s="473"/>
      <c r="AS284" s="473"/>
      <c r="AT284" s="473"/>
      <c r="AU284" s="473"/>
      <c r="AV284" s="473"/>
      <c r="AW284" s="473"/>
      <c r="AX284" s="473"/>
      <c r="AY284" s="473"/>
      <c r="AZ284" s="473"/>
      <c r="BA284" s="473"/>
      <c r="BB284" s="473"/>
      <c r="BC284" s="473"/>
      <c r="BD284" s="473"/>
      <c r="BE284" s="473"/>
      <c r="BF284" s="473"/>
      <c r="BG284" s="473"/>
      <c r="BH284" s="473"/>
      <c r="BI284" s="473"/>
      <c r="BJ284" s="473"/>
      <c r="BK284" s="473"/>
      <c r="BL284" s="473"/>
      <c r="BM284" s="473"/>
      <c r="BN284" s="473"/>
      <c r="BO284" s="473"/>
      <c r="BP284" s="473"/>
      <c r="BQ284" s="473"/>
      <c r="BR284" s="473"/>
      <c r="BS284" s="473"/>
      <c r="BT284" s="473"/>
      <c r="BU284" s="473"/>
      <c r="BV284" s="473"/>
      <c r="BW284" s="473"/>
      <c r="BX284" s="473"/>
      <c r="BY284" s="473"/>
      <c r="BZ284" s="473"/>
      <c r="CA284" s="473"/>
      <c r="CB284" s="473"/>
      <c r="CC284" s="473"/>
      <c r="CD284" s="473"/>
      <c r="CE284" s="473"/>
      <c r="CF284" s="473"/>
      <c r="CG284" s="473"/>
      <c r="CH284" s="473"/>
      <c r="CI284" s="473"/>
      <c r="CJ284" s="473"/>
      <c r="CK284" s="473"/>
      <c r="CL284" s="473"/>
      <c r="CM284" s="473"/>
      <c r="CN284" s="473"/>
      <c r="CO284" s="473"/>
      <c r="CP284" s="473"/>
      <c r="CQ284" s="473"/>
      <c r="CR284" s="473"/>
      <c r="CS284" s="473"/>
      <c r="CT284" s="473"/>
      <c r="CU284" s="473"/>
      <c r="CV284" s="473"/>
      <c r="CW284" s="473"/>
      <c r="CX284" s="473"/>
      <c r="CY284" s="473"/>
      <c r="CZ284" s="473"/>
      <c r="DA284" s="473"/>
      <c r="DB284" s="473"/>
      <c r="DC284" s="473"/>
      <c r="DD284" s="473"/>
      <c r="DE284" s="473"/>
      <c r="DF284" s="473"/>
      <c r="DG284" s="473"/>
      <c r="DH284" s="473"/>
      <c r="DI284" s="473"/>
      <c r="DJ284" s="473"/>
      <c r="DK284" s="473"/>
      <c r="DL284" s="473"/>
      <c r="DM284" s="473"/>
      <c r="DN284" s="473"/>
      <c r="DO284" s="473"/>
      <c r="DP284" s="473"/>
      <c r="DQ284" s="473"/>
      <c r="DR284" s="473"/>
      <c r="DS284" s="473"/>
      <c r="DT284" s="473"/>
      <c r="DU284" s="473"/>
      <c r="DV284" s="473"/>
      <c r="DW284" s="473"/>
      <c r="DX284" s="473"/>
      <c r="DY284" s="473"/>
      <c r="DZ284" s="473"/>
      <c r="EA284" s="473"/>
      <c r="EB284" s="473"/>
      <c r="EC284" s="473"/>
      <c r="ED284" s="473"/>
      <c r="EE284" s="473"/>
      <c r="EF284" s="473"/>
      <c r="EG284" s="473"/>
      <c r="EH284" s="473"/>
      <c r="EI284" s="473"/>
      <c r="EJ284" s="473"/>
      <c r="EK284" s="473"/>
      <c r="EL284" s="473"/>
      <c r="EM284" s="473"/>
      <c r="EN284" s="473"/>
      <c r="EO284" s="473"/>
      <c r="EP284" s="473"/>
      <c r="EQ284" s="473"/>
      <c r="ER284" s="473"/>
      <c r="ES284" s="473"/>
      <c r="ET284" s="473"/>
      <c r="EU284" s="473"/>
      <c r="EV284" s="473"/>
      <c r="EW284" s="473"/>
      <c r="EX284" s="473"/>
      <c r="EY284" s="473"/>
      <c r="EZ284" s="473"/>
      <c r="FA284" s="473"/>
      <c r="FB284" s="473"/>
      <c r="FC284" s="473"/>
      <c r="FD284" s="473"/>
      <c r="FE284" s="473"/>
      <c r="FF284" s="473"/>
      <c r="FG284" s="473"/>
      <c r="FH284" s="473"/>
      <c r="FI284" s="473"/>
      <c r="FJ284" s="473"/>
      <c r="FK284" s="473"/>
      <c r="FL284" s="473"/>
      <c r="FM284" s="473"/>
      <c r="FN284" s="473"/>
      <c r="FO284" s="473"/>
      <c r="FP284" s="473"/>
      <c r="FQ284" s="473"/>
      <c r="FR284" s="473"/>
      <c r="FS284" s="473"/>
      <c r="FT284" s="473"/>
      <c r="FU284" s="473"/>
      <c r="FV284" s="473"/>
      <c r="FW284" s="473"/>
      <c r="FX284" s="473"/>
      <c r="FY284" s="473"/>
      <c r="FZ284" s="473"/>
      <c r="GA284" s="473"/>
      <c r="GB284" s="473"/>
      <c r="GC284" s="473"/>
      <c r="GD284" s="473"/>
      <c r="GE284" s="473"/>
      <c r="GF284" s="473"/>
      <c r="GG284" s="473"/>
      <c r="GH284" s="473"/>
      <c r="GI284" s="473"/>
      <c r="GJ284" s="473"/>
      <c r="GK284" s="473"/>
      <c r="GL284" s="473"/>
      <c r="GM284" s="473"/>
      <c r="GN284" s="473"/>
      <c r="GO284" s="473"/>
      <c r="GP284" s="473"/>
      <c r="GQ284" s="473"/>
      <c r="GR284" s="473"/>
      <c r="GS284" s="473"/>
      <c r="GT284" s="473"/>
      <c r="GU284" s="473"/>
      <c r="GV284" s="473"/>
      <c r="GW284" s="473"/>
      <c r="GX284" s="473"/>
      <c r="GY284" s="473"/>
      <c r="GZ284" s="473"/>
      <c r="HA284" s="473"/>
      <c r="HB284" s="473"/>
      <c r="HC284" s="473"/>
      <c r="HD284" s="473"/>
      <c r="HE284" s="473"/>
      <c r="HF284" s="473"/>
      <c r="HG284" s="473"/>
      <c r="HH284" s="473"/>
      <c r="HI284" s="473"/>
      <c r="HJ284" s="473"/>
      <c r="HK284" s="473"/>
      <c r="HL284" s="473"/>
      <c r="HM284" s="473"/>
      <c r="HN284" s="473"/>
      <c r="HO284" s="473"/>
      <c r="HP284" s="473"/>
      <c r="HQ284" s="473"/>
      <c r="HR284" s="473"/>
      <c r="HS284" s="473"/>
      <c r="HT284" s="473"/>
      <c r="HU284" s="473"/>
      <c r="HV284" s="473"/>
      <c r="HW284" s="473"/>
      <c r="HX284" s="473"/>
      <c r="HY284" s="473"/>
      <c r="HZ284" s="473"/>
      <c r="IA284" s="473"/>
      <c r="IB284" s="473"/>
      <c r="IC284" s="473"/>
      <c r="ID284" s="473"/>
      <c r="IE284" s="473"/>
      <c r="IF284" s="473"/>
      <c r="IG284" s="473"/>
      <c r="IH284" s="473"/>
      <c r="II284" s="473"/>
      <c r="IJ284" s="473"/>
      <c r="IK284" s="473"/>
      <c r="IL284" s="473"/>
      <c r="IM284" s="473"/>
      <c r="IN284" s="473"/>
    </row>
    <row r="285" spans="1:248" ht="20.25" customHeight="1" x14ac:dyDescent="0.2">
      <c r="A285" s="421" t="s">
        <v>267</v>
      </c>
      <c r="B285" s="319">
        <v>51720</v>
      </c>
      <c r="C285" s="323">
        <v>28361</v>
      </c>
      <c r="D285" s="321">
        <v>22604.6</v>
      </c>
      <c r="E285" s="324">
        <f t="shared" si="44"/>
        <v>79.703113430415002</v>
      </c>
      <c r="F285" s="319">
        <f t="shared" si="45"/>
        <v>352732</v>
      </c>
      <c r="G285" s="481">
        <f t="shared" si="45"/>
        <v>223658</v>
      </c>
      <c r="H285" s="482">
        <f t="shared" si="45"/>
        <v>193850.93</v>
      </c>
      <c r="I285" s="324">
        <f>H285/G285*100</f>
        <v>86.67292473329816</v>
      </c>
    </row>
    <row r="286" spans="1:248" ht="19.5" customHeight="1" x14ac:dyDescent="0.2">
      <c r="A286" s="422" t="s">
        <v>268</v>
      </c>
      <c r="B286" s="319">
        <v>12800</v>
      </c>
      <c r="C286" s="323">
        <v>17494</v>
      </c>
      <c r="D286" s="321">
        <v>10069.549999999999</v>
      </c>
      <c r="E286" s="423">
        <f t="shared" si="44"/>
        <v>57.56002057848405</v>
      </c>
      <c r="F286" s="319">
        <f t="shared" si="45"/>
        <v>108120</v>
      </c>
      <c r="G286" s="481">
        <f t="shared" si="45"/>
        <v>98967</v>
      </c>
      <c r="H286" s="482">
        <f t="shared" si="45"/>
        <v>91133.08</v>
      </c>
      <c r="I286" s="324">
        <f>H286/G286*100</f>
        <v>92.084310931926808</v>
      </c>
    </row>
    <row r="287" spans="1:248" ht="19.5" customHeight="1" x14ac:dyDescent="0.2">
      <c r="A287" s="421" t="s">
        <v>269</v>
      </c>
      <c r="B287" s="319">
        <v>23540</v>
      </c>
      <c r="C287" s="323">
        <v>23540</v>
      </c>
      <c r="D287" s="321">
        <v>17627.5</v>
      </c>
      <c r="E287" s="423">
        <f t="shared" si="44"/>
        <v>74.883177570093466</v>
      </c>
      <c r="F287" s="319">
        <f t="shared" si="45"/>
        <v>186371</v>
      </c>
      <c r="G287" s="481">
        <f t="shared" si="45"/>
        <v>186371</v>
      </c>
      <c r="H287" s="482">
        <f t="shared" si="45"/>
        <v>205173.3</v>
      </c>
      <c r="I287" s="324">
        <f t="shared" ref="I287:I321" si="46">H287/G287*100</f>
        <v>110.08864040006223</v>
      </c>
    </row>
    <row r="288" spans="1:248" ht="20.25" customHeight="1" thickBot="1" x14ac:dyDescent="0.25">
      <c r="A288" s="424" t="s">
        <v>270</v>
      </c>
      <c r="B288" s="334">
        <v>50</v>
      </c>
      <c r="C288" s="335">
        <v>1895</v>
      </c>
      <c r="D288" s="336">
        <f>250+200+440+350+563.39+42+8.61</f>
        <v>1853.9999999999998</v>
      </c>
      <c r="E288" s="425">
        <f t="shared" si="44"/>
        <v>97.836411609498668</v>
      </c>
      <c r="F288" s="334">
        <f t="shared" si="45"/>
        <v>4096</v>
      </c>
      <c r="G288" s="483">
        <f t="shared" si="45"/>
        <v>43399</v>
      </c>
      <c r="H288" s="484">
        <f t="shared" si="45"/>
        <v>55001.479999999996</v>
      </c>
      <c r="I288" s="338">
        <f t="shared" si="46"/>
        <v>126.73444088573468</v>
      </c>
    </row>
    <row r="289" spans="1:9" ht="24.95" customHeight="1" thickBot="1" x14ac:dyDescent="0.25">
      <c r="A289" s="426" t="s">
        <v>271</v>
      </c>
      <c r="B289" s="309">
        <f>B293+B304+B305</f>
        <v>1175613</v>
      </c>
      <c r="C289" s="306">
        <f>C293+C304+C305</f>
        <v>1394718</v>
      </c>
      <c r="D289" s="307">
        <f>D293+D304+D305</f>
        <v>1399184.48</v>
      </c>
      <c r="E289" s="454">
        <f t="shared" si="44"/>
        <v>100.32024251497435</v>
      </c>
      <c r="F289" s="407">
        <f>F293+F304+F305</f>
        <v>9872452</v>
      </c>
      <c r="G289" s="408">
        <f>G293+G304+G305</f>
        <v>11680906</v>
      </c>
      <c r="H289" s="409">
        <f>H293+H304+H305</f>
        <v>11730562.48</v>
      </c>
      <c r="I289" s="384">
        <f t="shared" si="46"/>
        <v>100.42510812089405</v>
      </c>
    </row>
    <row r="290" spans="1:9" ht="15.75" customHeight="1" x14ac:dyDescent="0.2">
      <c r="A290" s="421" t="s">
        <v>272</v>
      </c>
      <c r="B290" s="346">
        <v>1018758</v>
      </c>
      <c r="C290" s="350">
        <v>1121580</v>
      </c>
      <c r="D290" s="348">
        <v>1121580</v>
      </c>
      <c r="E290" s="455">
        <f t="shared" si="44"/>
        <v>100</v>
      </c>
      <c r="F290" s="346">
        <f t="shared" ref="F290:H292" si="47">B20+F20+B76+F76+B131+F131+B187+F187+B239+F239+B290</f>
        <v>8564290</v>
      </c>
      <c r="G290" s="479">
        <f t="shared" si="47"/>
        <v>9534321</v>
      </c>
      <c r="H290" s="480">
        <f t="shared" si="47"/>
        <v>9534321</v>
      </c>
      <c r="I290" s="351">
        <f t="shared" si="46"/>
        <v>100</v>
      </c>
    </row>
    <row r="291" spans="1:9" ht="15.75" customHeight="1" x14ac:dyDescent="0.2">
      <c r="A291" s="427" t="s">
        <v>273</v>
      </c>
      <c r="B291" s="319">
        <v>156855</v>
      </c>
      <c r="C291" s="323">
        <v>206506</v>
      </c>
      <c r="D291" s="321">
        <v>206497.18</v>
      </c>
      <c r="E291" s="324">
        <f t="shared" si="44"/>
        <v>99.995728937657987</v>
      </c>
      <c r="F291" s="319">
        <f t="shared" si="47"/>
        <v>1308162</v>
      </c>
      <c r="G291" s="481">
        <f t="shared" si="47"/>
        <v>1560798</v>
      </c>
      <c r="H291" s="482">
        <f t="shared" si="47"/>
        <v>1358874.0099999998</v>
      </c>
      <c r="I291" s="324">
        <f t="shared" si="46"/>
        <v>87.062772376694468</v>
      </c>
    </row>
    <row r="292" spans="1:9" ht="15.75" customHeight="1" thickBot="1" x14ac:dyDescent="0.25">
      <c r="A292" s="428" t="s">
        <v>307</v>
      </c>
      <c r="B292" s="319">
        <v>0</v>
      </c>
      <c r="C292" s="335">
        <v>0</v>
      </c>
      <c r="D292" s="336">
        <v>81.93</v>
      </c>
      <c r="E292" s="338"/>
      <c r="F292" s="334">
        <f t="shared" si="47"/>
        <v>0</v>
      </c>
      <c r="G292" s="483">
        <f t="shared" si="47"/>
        <v>0</v>
      </c>
      <c r="H292" s="484">
        <f t="shared" si="47"/>
        <v>170554.30000000002</v>
      </c>
      <c r="I292" s="338"/>
    </row>
    <row r="293" spans="1:9" ht="24.95" customHeight="1" thickBot="1" x14ac:dyDescent="0.25">
      <c r="A293" s="472" t="s">
        <v>275</v>
      </c>
      <c r="B293" s="340">
        <f>SUM(B290:B292)</f>
        <v>1175613</v>
      </c>
      <c r="C293" s="341">
        <f>SUM(C290:C292)</f>
        <v>1328086</v>
      </c>
      <c r="D293" s="342">
        <f>SUM(D290:D292)</f>
        <v>1328159.1099999999</v>
      </c>
      <c r="E293" s="384">
        <f t="shared" si="44"/>
        <v>100.00550491459137</v>
      </c>
      <c r="F293" s="485">
        <f>SUM(F290:F292)</f>
        <v>9872452</v>
      </c>
      <c r="G293" s="486">
        <f>SUM(G290:G292)</f>
        <v>11095119</v>
      </c>
      <c r="H293" s="487">
        <f>SUM(H290:H292)</f>
        <v>11063749.310000001</v>
      </c>
      <c r="I293" s="384">
        <f t="shared" si="46"/>
        <v>99.717265853570396</v>
      </c>
    </row>
    <row r="294" spans="1:9" ht="15.75" customHeight="1" x14ac:dyDescent="0.2">
      <c r="A294" s="469" t="s">
        <v>276</v>
      </c>
      <c r="B294" s="346">
        <v>0</v>
      </c>
      <c r="C294" s="350">
        <v>7942</v>
      </c>
      <c r="D294" s="348">
        <v>7942</v>
      </c>
      <c r="E294" s="351">
        <f t="shared" si="44"/>
        <v>100</v>
      </c>
      <c r="F294" s="346">
        <f t="shared" ref="F294:F303" si="48">B24+F24+B80+F80+B135+F135+B191+F191+B243+F243+B294</f>
        <v>0</v>
      </c>
      <c r="G294" s="479">
        <f t="shared" ref="G294:G303" si="49">C24+G24+C80+G80+C135+G135+C191+G191+C243+G243+C294</f>
        <v>133568</v>
      </c>
      <c r="H294" s="480">
        <f t="shared" ref="H294:H303" si="50">D24+H24+D80+H80+D135+H135+D191+H191+D243+H243+D294</f>
        <v>133568</v>
      </c>
      <c r="I294" s="351">
        <f t="shared" si="46"/>
        <v>100</v>
      </c>
    </row>
    <row r="295" spans="1:9" ht="15.75" customHeight="1" x14ac:dyDescent="0.2">
      <c r="A295" s="422" t="s">
        <v>309</v>
      </c>
      <c r="B295" s="319">
        <v>0</v>
      </c>
      <c r="C295" s="323">
        <v>6247</v>
      </c>
      <c r="D295" s="321">
        <v>6247</v>
      </c>
      <c r="E295" s="351">
        <f t="shared" si="44"/>
        <v>100</v>
      </c>
      <c r="F295" s="319">
        <f t="shared" si="48"/>
        <v>0</v>
      </c>
      <c r="G295" s="481">
        <f t="shared" si="49"/>
        <v>52947</v>
      </c>
      <c r="H295" s="482">
        <f t="shared" si="50"/>
        <v>52947</v>
      </c>
      <c r="I295" s="324">
        <f t="shared" si="46"/>
        <v>100</v>
      </c>
    </row>
    <row r="296" spans="1:9" ht="15.75" customHeight="1" x14ac:dyDescent="0.2">
      <c r="A296" s="422" t="s">
        <v>278</v>
      </c>
      <c r="B296" s="319">
        <v>0</v>
      </c>
      <c r="C296" s="323">
        <v>24384</v>
      </c>
      <c r="D296" s="321">
        <v>24384</v>
      </c>
      <c r="E296" s="324">
        <f t="shared" si="44"/>
        <v>100</v>
      </c>
      <c r="F296" s="319">
        <f t="shared" si="48"/>
        <v>0</v>
      </c>
      <c r="G296" s="481">
        <f t="shared" si="49"/>
        <v>185441</v>
      </c>
      <c r="H296" s="482">
        <f t="shared" si="50"/>
        <v>185441</v>
      </c>
      <c r="I296" s="324">
        <f t="shared" si="46"/>
        <v>100</v>
      </c>
    </row>
    <row r="297" spans="1:9" ht="15.75" customHeight="1" x14ac:dyDescent="0.2">
      <c r="A297" s="422" t="s">
        <v>279</v>
      </c>
      <c r="B297" s="319">
        <v>0</v>
      </c>
      <c r="C297" s="323">
        <v>0</v>
      </c>
      <c r="D297" s="321">
        <v>0</v>
      </c>
      <c r="E297" s="324"/>
      <c r="F297" s="319">
        <f t="shared" si="48"/>
        <v>0</v>
      </c>
      <c r="G297" s="481">
        <f t="shared" si="49"/>
        <v>0</v>
      </c>
      <c r="H297" s="482">
        <f t="shared" si="50"/>
        <v>0</v>
      </c>
      <c r="I297" s="324"/>
    </row>
    <row r="298" spans="1:9" ht="15.75" customHeight="1" x14ac:dyDescent="0.2">
      <c r="A298" s="431" t="s">
        <v>280</v>
      </c>
      <c r="B298" s="319">
        <v>0</v>
      </c>
      <c r="C298" s="323">
        <v>0</v>
      </c>
      <c r="D298" s="321">
        <v>0</v>
      </c>
      <c r="E298" s="324"/>
      <c r="F298" s="319">
        <f t="shared" si="48"/>
        <v>0</v>
      </c>
      <c r="G298" s="481">
        <f t="shared" si="49"/>
        <v>250</v>
      </c>
      <c r="H298" s="482">
        <f t="shared" si="50"/>
        <v>250</v>
      </c>
      <c r="I298" s="324">
        <f t="shared" si="46"/>
        <v>100</v>
      </c>
    </row>
    <row r="299" spans="1:9" ht="15.75" customHeight="1" x14ac:dyDescent="0.2">
      <c r="A299" s="431" t="s">
        <v>281</v>
      </c>
      <c r="B299" s="319">
        <v>0</v>
      </c>
      <c r="C299" s="323">
        <v>21556</v>
      </c>
      <c r="D299" s="321">
        <v>21556</v>
      </c>
      <c r="E299" s="324">
        <f t="shared" si="44"/>
        <v>100</v>
      </c>
      <c r="F299" s="319">
        <f t="shared" si="48"/>
        <v>0</v>
      </c>
      <c r="G299" s="481">
        <f t="shared" si="49"/>
        <v>162696</v>
      </c>
      <c r="H299" s="482">
        <f t="shared" si="50"/>
        <v>162696</v>
      </c>
      <c r="I299" s="324">
        <f t="shared" si="46"/>
        <v>100</v>
      </c>
    </row>
    <row r="300" spans="1:9" ht="15.75" customHeight="1" x14ac:dyDescent="0.2">
      <c r="A300" s="431" t="s">
        <v>282</v>
      </c>
      <c r="B300" s="319">
        <v>0</v>
      </c>
      <c r="C300" s="323">
        <v>3900</v>
      </c>
      <c r="D300" s="321">
        <v>3900</v>
      </c>
      <c r="E300" s="324">
        <f t="shared" si="44"/>
        <v>100</v>
      </c>
      <c r="F300" s="319">
        <f t="shared" si="48"/>
        <v>0</v>
      </c>
      <c r="G300" s="481">
        <f t="shared" si="49"/>
        <v>27150</v>
      </c>
      <c r="H300" s="482">
        <f t="shared" si="50"/>
        <v>27150</v>
      </c>
      <c r="I300" s="324">
        <f t="shared" si="46"/>
        <v>100</v>
      </c>
    </row>
    <row r="301" spans="1:9" ht="15.75" customHeight="1" x14ac:dyDescent="0.2">
      <c r="A301" s="431" t="s">
        <v>283</v>
      </c>
      <c r="B301" s="319">
        <v>0</v>
      </c>
      <c r="C301" s="323">
        <v>0</v>
      </c>
      <c r="D301" s="321">
        <v>0</v>
      </c>
      <c r="E301" s="324"/>
      <c r="F301" s="319">
        <f t="shared" si="48"/>
        <v>0</v>
      </c>
      <c r="G301" s="481">
        <f t="shared" si="49"/>
        <v>2000</v>
      </c>
      <c r="H301" s="482">
        <f t="shared" si="50"/>
        <v>2000</v>
      </c>
      <c r="I301" s="324">
        <f t="shared" si="46"/>
        <v>100</v>
      </c>
    </row>
    <row r="302" spans="1:9" ht="15.75" customHeight="1" x14ac:dyDescent="0.2">
      <c r="A302" s="431" t="s">
        <v>284</v>
      </c>
      <c r="B302" s="319">
        <v>0</v>
      </c>
      <c r="C302" s="323">
        <v>800</v>
      </c>
      <c r="D302" s="321">
        <v>0</v>
      </c>
      <c r="E302" s="324">
        <f t="shared" si="44"/>
        <v>0</v>
      </c>
      <c r="F302" s="319">
        <f t="shared" si="48"/>
        <v>0</v>
      </c>
      <c r="G302" s="481">
        <f t="shared" si="49"/>
        <v>4000</v>
      </c>
      <c r="H302" s="482">
        <f t="shared" si="50"/>
        <v>0</v>
      </c>
      <c r="I302" s="324">
        <f t="shared" si="46"/>
        <v>0</v>
      </c>
    </row>
    <row r="303" spans="1:9" ht="15.75" customHeight="1" thickBot="1" x14ac:dyDescent="0.25">
      <c r="A303" s="427" t="s">
        <v>285</v>
      </c>
      <c r="B303" s="334">
        <v>0</v>
      </c>
      <c r="C303" s="335">
        <v>0</v>
      </c>
      <c r="D303" s="336">
        <v>0</v>
      </c>
      <c r="E303" s="338"/>
      <c r="F303" s="334">
        <f t="shared" si="48"/>
        <v>0</v>
      </c>
      <c r="G303" s="483">
        <f t="shared" si="49"/>
        <v>0</v>
      </c>
      <c r="H303" s="484">
        <f t="shared" si="50"/>
        <v>0</v>
      </c>
      <c r="I303" s="324"/>
    </row>
    <row r="304" spans="1:9" ht="21.75" customHeight="1" thickBot="1" x14ac:dyDescent="0.25">
      <c r="A304" s="439" t="s">
        <v>286</v>
      </c>
      <c r="B304" s="372">
        <f>SUM(B294:B303)</f>
        <v>0</v>
      </c>
      <c r="C304" s="376">
        <f>SUM(C294:C303)</f>
        <v>64829</v>
      </c>
      <c r="D304" s="374">
        <f>SUM(D294:D303)</f>
        <v>64029</v>
      </c>
      <c r="E304" s="384">
        <f t="shared" si="44"/>
        <v>98.765984358851739</v>
      </c>
      <c r="F304" s="488">
        <f>SUM(F294:F303)</f>
        <v>0</v>
      </c>
      <c r="G304" s="489">
        <f>SUM(G294:G303)</f>
        <v>568052</v>
      </c>
      <c r="H304" s="490">
        <f>SUM(H294:H303)</f>
        <v>564052</v>
      </c>
      <c r="I304" s="384">
        <f t="shared" si="46"/>
        <v>99.295839113320611</v>
      </c>
    </row>
    <row r="305" spans="1:9" ht="17.25" customHeight="1" thickBot="1" x14ac:dyDescent="0.25">
      <c r="A305" s="439" t="s">
        <v>287</v>
      </c>
      <c r="B305" s="319">
        <v>0</v>
      </c>
      <c r="C305" s="376">
        <v>1803</v>
      </c>
      <c r="D305" s="491">
        <f>563.39+1240+5192.98</f>
        <v>6996.369999999999</v>
      </c>
      <c r="E305" s="324">
        <f t="shared" si="44"/>
        <v>388.04048807542978</v>
      </c>
      <c r="F305" s="372">
        <f>B35+F35+B91+F91+B146+F146+B202+F202+B254+F254+B305</f>
        <v>0</v>
      </c>
      <c r="G305" s="492">
        <f>C35+G35+C91+G91+C146+G146+C202+G202+C254+G254+C305</f>
        <v>17735</v>
      </c>
      <c r="H305" s="493">
        <f>D35+H35+D91+H91+D146+H146+D202+H202+D254+H254+D305</f>
        <v>102761.17</v>
      </c>
      <c r="I305" s="384">
        <f t="shared" si="46"/>
        <v>579.42582464054124</v>
      </c>
    </row>
    <row r="306" spans="1:9" ht="24.95" customHeight="1" thickBot="1" x14ac:dyDescent="0.25">
      <c r="A306" s="426" t="s">
        <v>288</v>
      </c>
      <c r="B306" s="309">
        <f>SUM(B307:B311)</f>
        <v>534820</v>
      </c>
      <c r="C306" s="306">
        <f>SUM(C307:C311)</f>
        <v>586706</v>
      </c>
      <c r="D306" s="307">
        <f>SUM(D307:D311)</f>
        <v>586651.42999999993</v>
      </c>
      <c r="E306" s="384">
        <f t="shared" si="44"/>
        <v>99.990698919049734</v>
      </c>
      <c r="F306" s="363">
        <f>SUM(F307:F311)</f>
        <v>3543725</v>
      </c>
      <c r="G306" s="360">
        <f>SUM(G307:G311)</f>
        <v>3948230</v>
      </c>
      <c r="H306" s="361">
        <f>SUM(H307:H311)</f>
        <v>3918464.55</v>
      </c>
      <c r="I306" s="310">
        <f t="shared" si="46"/>
        <v>99.246106483158272</v>
      </c>
    </row>
    <row r="307" spans="1:9" ht="19.5" customHeight="1" x14ac:dyDescent="0.2">
      <c r="A307" s="435" t="s">
        <v>289</v>
      </c>
      <c r="B307" s="346">
        <v>0</v>
      </c>
      <c r="C307" s="350">
        <v>5024</v>
      </c>
      <c r="D307" s="348">
        <v>5024</v>
      </c>
      <c r="E307" s="324">
        <f t="shared" si="44"/>
        <v>100</v>
      </c>
      <c r="F307" s="346">
        <f t="shared" ref="F307:H314" si="51">B37+F37+B93+F93+B148+F148+B204+F204+B256+F256+B307</f>
        <v>0</v>
      </c>
      <c r="G307" s="479">
        <f t="shared" si="51"/>
        <v>92904</v>
      </c>
      <c r="H307" s="480">
        <f t="shared" si="51"/>
        <v>67743.62</v>
      </c>
      <c r="I307" s="494">
        <f t="shared" si="46"/>
        <v>72.917872212176007</v>
      </c>
    </row>
    <row r="308" spans="1:9" ht="19.5" customHeight="1" x14ac:dyDescent="0.2">
      <c r="A308" s="436" t="s">
        <v>290</v>
      </c>
      <c r="B308" s="319">
        <v>153938</v>
      </c>
      <c r="C308" s="323">
        <v>154680</v>
      </c>
      <c r="D308" s="321">
        <v>154680</v>
      </c>
      <c r="E308" s="324">
        <f t="shared" si="44"/>
        <v>100</v>
      </c>
      <c r="F308" s="319">
        <f t="shared" si="51"/>
        <v>1232366</v>
      </c>
      <c r="G308" s="481">
        <f t="shared" si="51"/>
        <v>1288509</v>
      </c>
      <c r="H308" s="482">
        <f t="shared" si="51"/>
        <v>1288508.99</v>
      </c>
      <c r="I308" s="494">
        <f t="shared" si="46"/>
        <v>99.999999223909185</v>
      </c>
    </row>
    <row r="309" spans="1:9" ht="18" customHeight="1" x14ac:dyDescent="0.2">
      <c r="A309" s="437" t="s">
        <v>291</v>
      </c>
      <c r="B309" s="319">
        <v>25200</v>
      </c>
      <c r="C309" s="323">
        <v>25200</v>
      </c>
      <c r="D309" s="321">
        <v>25145.43</v>
      </c>
      <c r="E309" s="324">
        <f t="shared" si="44"/>
        <v>99.783452380952383</v>
      </c>
      <c r="F309" s="319">
        <f t="shared" si="51"/>
        <v>216160</v>
      </c>
      <c r="G309" s="481">
        <f t="shared" si="51"/>
        <v>217592</v>
      </c>
      <c r="H309" s="482">
        <f t="shared" si="51"/>
        <v>213578.31999999998</v>
      </c>
      <c r="I309" s="494">
        <f t="shared" si="46"/>
        <v>98.155410125372242</v>
      </c>
    </row>
    <row r="310" spans="1:9" ht="18" customHeight="1" x14ac:dyDescent="0.2">
      <c r="A310" s="437" t="s">
        <v>292</v>
      </c>
      <c r="B310" s="319">
        <v>344482</v>
      </c>
      <c r="C310" s="323">
        <v>390602</v>
      </c>
      <c r="D310" s="321">
        <v>390602</v>
      </c>
      <c r="E310" s="324">
        <f t="shared" si="44"/>
        <v>100</v>
      </c>
      <c r="F310" s="319">
        <f t="shared" si="51"/>
        <v>2008199</v>
      </c>
      <c r="G310" s="481">
        <f t="shared" si="51"/>
        <v>2261175</v>
      </c>
      <c r="H310" s="482">
        <f t="shared" si="51"/>
        <v>2261175</v>
      </c>
      <c r="I310" s="494">
        <f t="shared" si="46"/>
        <v>100</v>
      </c>
    </row>
    <row r="311" spans="1:9" ht="16.5" customHeight="1" thickBot="1" x14ac:dyDescent="0.25">
      <c r="A311" s="438" t="s">
        <v>293</v>
      </c>
      <c r="B311" s="334">
        <v>11200</v>
      </c>
      <c r="C311" s="335">
        <v>11200</v>
      </c>
      <c r="D311" s="336">
        <v>11200</v>
      </c>
      <c r="E311" s="338">
        <f t="shared" si="44"/>
        <v>100</v>
      </c>
      <c r="F311" s="334">
        <f t="shared" si="51"/>
        <v>87000</v>
      </c>
      <c r="G311" s="483">
        <f t="shared" si="51"/>
        <v>88050</v>
      </c>
      <c r="H311" s="484">
        <f t="shared" si="51"/>
        <v>87458.62000000001</v>
      </c>
      <c r="I311" s="402">
        <f t="shared" si="46"/>
        <v>99.328358886996043</v>
      </c>
    </row>
    <row r="312" spans="1:9" s="378" customFormat="1" ht="16.5" customHeight="1" thickBot="1" x14ac:dyDescent="0.25">
      <c r="A312" s="439" t="s">
        <v>294</v>
      </c>
      <c r="B312" s="372">
        <v>23540</v>
      </c>
      <c r="C312" s="376">
        <v>23540</v>
      </c>
      <c r="D312" s="374">
        <v>21365.97</v>
      </c>
      <c r="E312" s="377">
        <f t="shared" si="44"/>
        <v>90.764528462192018</v>
      </c>
      <c r="F312" s="372">
        <f t="shared" si="51"/>
        <v>186371</v>
      </c>
      <c r="G312" s="492">
        <f t="shared" si="51"/>
        <v>186371</v>
      </c>
      <c r="H312" s="495">
        <f t="shared" si="51"/>
        <v>216361.55999999997</v>
      </c>
      <c r="I312" s="310">
        <f t="shared" si="46"/>
        <v>116.09185978505239</v>
      </c>
    </row>
    <row r="313" spans="1:9" s="378" customFormat="1" ht="16.5" customHeight="1" thickBot="1" x14ac:dyDescent="0.25">
      <c r="A313" s="439" t="s">
        <v>295</v>
      </c>
      <c r="B313" s="372">
        <v>132000</v>
      </c>
      <c r="C313" s="376">
        <v>132000</v>
      </c>
      <c r="D313" s="374">
        <v>55395.26</v>
      </c>
      <c r="E313" s="377">
        <f t="shared" si="44"/>
        <v>41.966106060606059</v>
      </c>
      <c r="F313" s="372">
        <f t="shared" si="51"/>
        <v>862693</v>
      </c>
      <c r="G313" s="492">
        <f t="shared" si="51"/>
        <v>862693</v>
      </c>
      <c r="H313" s="495">
        <f t="shared" si="51"/>
        <v>385151.16000000003</v>
      </c>
      <c r="I313" s="310">
        <f t="shared" si="46"/>
        <v>44.645216780476957</v>
      </c>
    </row>
    <row r="314" spans="1:9" s="378" customFormat="1" ht="16.5" customHeight="1" thickBot="1" x14ac:dyDescent="0.25">
      <c r="A314" s="439" t="s">
        <v>296</v>
      </c>
      <c r="B314" s="372">
        <v>0</v>
      </c>
      <c r="C314" s="376">
        <v>0</v>
      </c>
      <c r="D314" s="374">
        <v>0</v>
      </c>
      <c r="E314" s="377"/>
      <c r="F314" s="372">
        <f t="shared" si="51"/>
        <v>0</v>
      </c>
      <c r="G314" s="492">
        <f t="shared" si="51"/>
        <v>0</v>
      </c>
      <c r="H314" s="495">
        <f t="shared" si="51"/>
        <v>1784.7999999999997</v>
      </c>
      <c r="I314" s="310"/>
    </row>
    <row r="315" spans="1:9" ht="20.25" customHeight="1" thickBot="1" x14ac:dyDescent="0.25">
      <c r="A315" s="496" t="s">
        <v>297</v>
      </c>
      <c r="B315" s="309">
        <f t="shared" ref="B315" si="52">SUM(B316:B317)</f>
        <v>0</v>
      </c>
      <c r="C315" s="306">
        <f t="shared" ref="C315:D315" si="53">SUM(C316:C317)</f>
        <v>0</v>
      </c>
      <c r="D315" s="307">
        <f t="shared" si="53"/>
        <v>0</v>
      </c>
      <c r="E315" s="384"/>
      <c r="F315" s="309">
        <f t="shared" ref="F315:G315" si="54">SUM(F316:F317)</f>
        <v>0</v>
      </c>
      <c r="G315" s="306">
        <f t="shared" si="54"/>
        <v>4500</v>
      </c>
      <c r="H315" s="495">
        <f>D45+H45+D101+H101+D156+H156+D212+H212+D264+H264+D315</f>
        <v>15463</v>
      </c>
      <c r="I315" s="310">
        <f t="shared" si="46"/>
        <v>343.62222222222221</v>
      </c>
    </row>
    <row r="316" spans="1:9" s="499" customFormat="1" ht="15.75" customHeight="1" x14ac:dyDescent="0.2">
      <c r="A316" s="497" t="s">
        <v>298</v>
      </c>
      <c r="B316" s="392">
        <v>0</v>
      </c>
      <c r="C316" s="350">
        <v>0</v>
      </c>
      <c r="D316" s="348">
        <v>0</v>
      </c>
      <c r="E316" s="351"/>
      <c r="F316" s="346">
        <v>0</v>
      </c>
      <c r="G316" s="479">
        <f>C46+G46+C102+G102+C157+G157+C213+G213+C265+G265+C316</f>
        <v>4500</v>
      </c>
      <c r="H316" s="480">
        <f>D46+H46+D102+H102+D157+H157+D213+H213+D265+H265+D316</f>
        <v>14263</v>
      </c>
      <c r="I316" s="498">
        <f t="shared" si="46"/>
        <v>316.95555555555558</v>
      </c>
    </row>
    <row r="317" spans="1:9" s="499" customFormat="1" ht="15.75" customHeight="1" thickBot="1" x14ac:dyDescent="0.25">
      <c r="A317" s="500" t="s">
        <v>299</v>
      </c>
      <c r="B317" s="371">
        <v>0</v>
      </c>
      <c r="C317" s="335">
        <v>0</v>
      </c>
      <c r="D317" s="336">
        <v>0</v>
      </c>
      <c r="E317" s="338"/>
      <c r="F317" s="334">
        <v>0</v>
      </c>
      <c r="G317" s="483">
        <f>C47+G47+C103+G103+C158+G158+C214+G214+C266+G266+C317</f>
        <v>0</v>
      </c>
      <c r="H317" s="484">
        <f>D47+H47+D103+H103+D158+H158+D214+H214+D266+H266+D317</f>
        <v>1200</v>
      </c>
      <c r="I317" s="501"/>
    </row>
    <row r="318" spans="1:9" ht="18.75" customHeight="1" thickBot="1" x14ac:dyDescent="0.25">
      <c r="A318" s="502" t="s">
        <v>300</v>
      </c>
      <c r="B318" s="309">
        <f>B289+B306+B315+B312+B313</f>
        <v>1865973</v>
      </c>
      <c r="C318" s="306">
        <f t="shared" ref="C318" si="55">C289+C306+C315+C312+C313</f>
        <v>2136964</v>
      </c>
      <c r="D318" s="409">
        <f>D289+D306+D315+D312+D313+D314</f>
        <v>2062597.14</v>
      </c>
      <c r="E318" s="384">
        <f t="shared" si="44"/>
        <v>96.519976003339309</v>
      </c>
      <c r="F318" s="407">
        <f t="shared" ref="F318:G318" si="56">F289+F306+F315+F312+F313+F314</f>
        <v>14465241</v>
      </c>
      <c r="G318" s="408">
        <f t="shared" si="56"/>
        <v>16682700</v>
      </c>
      <c r="H318" s="409">
        <f>H289+H306+H315+H312+H313+H314</f>
        <v>16267787.550000003</v>
      </c>
      <c r="I318" s="310">
        <f t="shared" si="46"/>
        <v>97.512917873006188</v>
      </c>
    </row>
    <row r="319" spans="1:9" ht="15" customHeight="1" x14ac:dyDescent="0.2">
      <c r="A319" s="442" t="s">
        <v>301</v>
      </c>
      <c r="B319" s="346">
        <v>0</v>
      </c>
      <c r="C319" s="411">
        <v>0</v>
      </c>
      <c r="D319" s="412">
        <v>0</v>
      </c>
      <c r="E319" s="351"/>
      <c r="F319" s="346">
        <f t="shared" ref="F319:H320" si="57">B49+F49+B105+F105+B160+F160+B216+F216+B268+F268+B319</f>
        <v>0</v>
      </c>
      <c r="G319" s="350">
        <f t="shared" si="57"/>
        <v>0</v>
      </c>
      <c r="H319" s="480">
        <f t="shared" si="57"/>
        <v>0</v>
      </c>
      <c r="I319" s="470"/>
    </row>
    <row r="320" spans="1:9" ht="16.5" customHeight="1" thickBot="1" x14ac:dyDescent="0.25">
      <c r="A320" s="443" t="s">
        <v>302</v>
      </c>
      <c r="B320" s="334">
        <v>0</v>
      </c>
      <c r="C320" s="400">
        <v>0</v>
      </c>
      <c r="D320" s="401">
        <v>0</v>
      </c>
      <c r="E320" s="324"/>
      <c r="F320" s="334">
        <f t="shared" si="57"/>
        <v>0</v>
      </c>
      <c r="G320" s="483">
        <f t="shared" si="57"/>
        <v>0</v>
      </c>
      <c r="H320" s="484">
        <f t="shared" si="57"/>
        <v>0</v>
      </c>
      <c r="I320" s="460"/>
    </row>
    <row r="321" spans="1:11" ht="19.5" customHeight="1" thickBot="1" x14ac:dyDescent="0.25">
      <c r="A321" s="444" t="s">
        <v>303</v>
      </c>
      <c r="B321" s="407">
        <f>SUM(B318:B320)</f>
        <v>1865973</v>
      </c>
      <c r="C321" s="408">
        <f t="shared" ref="C321:D321" si="58">SUM(C318:C320)</f>
        <v>2136964</v>
      </c>
      <c r="D321" s="409">
        <f t="shared" si="58"/>
        <v>2062597.14</v>
      </c>
      <c r="E321" s="384">
        <f t="shared" si="44"/>
        <v>96.519976003339309</v>
      </c>
      <c r="F321" s="407">
        <f>SUM(F318:F320)</f>
        <v>14465241</v>
      </c>
      <c r="G321" s="408">
        <f t="shared" ref="G321:H321" si="59">SUM(G318:G320)</f>
        <v>16682700</v>
      </c>
      <c r="H321" s="409">
        <f t="shared" si="59"/>
        <v>16267787.550000003</v>
      </c>
      <c r="I321" s="310">
        <f t="shared" si="46"/>
        <v>97.512917873006188</v>
      </c>
    </row>
    <row r="322" spans="1:11" ht="15" customHeight="1" x14ac:dyDescent="0.2">
      <c r="A322" s="416"/>
      <c r="B322" s="417"/>
      <c r="C322" s="417"/>
      <c r="D322" s="417"/>
      <c r="E322" s="503"/>
      <c r="F322" s="417"/>
      <c r="G322" s="417"/>
      <c r="H322" s="417"/>
      <c r="I322" s="418"/>
    </row>
    <row r="323" spans="1:11" ht="15" customHeight="1" x14ac:dyDescent="0.2">
      <c r="A323" s="416"/>
      <c r="B323" s="417"/>
      <c r="C323" s="417"/>
      <c r="D323" s="417"/>
      <c r="E323" s="503"/>
      <c r="F323" s="417"/>
      <c r="G323" s="417"/>
      <c r="H323" s="417"/>
      <c r="I323" s="418"/>
    </row>
    <row r="324" spans="1:11" ht="15" customHeight="1" x14ac:dyDescent="0.2">
      <c r="A324" s="416"/>
      <c r="B324" s="417"/>
      <c r="C324" s="417"/>
      <c r="D324" s="417"/>
      <c r="E324" s="503"/>
      <c r="F324" s="417"/>
      <c r="G324" s="417"/>
      <c r="H324" s="417"/>
      <c r="I324" s="418"/>
    </row>
    <row r="325" spans="1:11" ht="15" customHeight="1" x14ac:dyDescent="0.2">
      <c r="A325" s="416"/>
      <c r="B325" s="417"/>
      <c r="C325" s="417"/>
      <c r="D325" s="417"/>
      <c r="E325" s="503"/>
      <c r="F325" s="417"/>
      <c r="G325" s="417"/>
      <c r="H325" s="417"/>
      <c r="I325" s="418"/>
    </row>
    <row r="326" spans="1:11" ht="15" customHeight="1" x14ac:dyDescent="0.2">
      <c r="A326" s="416"/>
      <c r="B326" s="417"/>
      <c r="C326" s="417"/>
      <c r="D326" s="417"/>
      <c r="E326" s="503"/>
      <c r="F326" s="417"/>
      <c r="G326" s="417"/>
      <c r="H326" s="417"/>
      <c r="I326" s="418"/>
    </row>
    <row r="327" spans="1:11" ht="15" customHeight="1" x14ac:dyDescent="0.2">
      <c r="A327" s="416"/>
      <c r="B327" s="417"/>
      <c r="C327" s="417"/>
      <c r="D327" s="417"/>
      <c r="E327" s="503"/>
      <c r="F327" s="417"/>
      <c r="G327" s="417"/>
      <c r="H327" s="417"/>
      <c r="I327" s="418"/>
    </row>
    <row r="328" spans="1:11" ht="15" customHeight="1" x14ac:dyDescent="0.2">
      <c r="A328" s="416"/>
      <c r="B328" s="417"/>
      <c r="C328" s="417"/>
      <c r="D328" s="417"/>
      <c r="E328" s="503"/>
      <c r="F328" s="417"/>
      <c r="G328" s="417"/>
      <c r="H328" s="417"/>
      <c r="I328" s="418"/>
    </row>
    <row r="329" spans="1:11" ht="15" customHeight="1" x14ac:dyDescent="0.2">
      <c r="A329" s="416"/>
      <c r="B329" s="417"/>
      <c r="C329" s="417"/>
      <c r="D329" s="417"/>
      <c r="E329" s="503"/>
      <c r="F329" s="417"/>
      <c r="G329" s="417"/>
      <c r="H329" s="417"/>
      <c r="I329" s="418"/>
    </row>
    <row r="330" spans="1:11" ht="15" customHeight="1" x14ac:dyDescent="0.2">
      <c r="A330" s="416"/>
      <c r="B330" s="417"/>
      <c r="C330" s="417"/>
      <c r="D330" s="417"/>
      <c r="E330" s="503"/>
      <c r="F330" s="417"/>
      <c r="G330" s="417"/>
      <c r="H330" s="417"/>
      <c r="I330" s="418"/>
    </row>
    <row r="331" spans="1:11" ht="25.15" customHeight="1" x14ac:dyDescent="0.2">
      <c r="A331" s="504"/>
      <c r="B331" s="505"/>
      <c r="C331" s="417"/>
      <c r="D331" s="417"/>
      <c r="E331" s="418"/>
      <c r="F331" s="418"/>
      <c r="G331" s="417"/>
      <c r="H331" s="636" t="s">
        <v>320</v>
      </c>
      <c r="I331" s="638"/>
    </row>
    <row r="332" spans="1:11" ht="17.25" customHeight="1" thickBot="1" x14ac:dyDescent="0.25">
      <c r="A332" s="506"/>
      <c r="B332" s="507"/>
      <c r="D332" s="417"/>
      <c r="I332" s="468" t="s">
        <v>260</v>
      </c>
    </row>
    <row r="333" spans="1:11" ht="16.5" customHeight="1" thickBot="1" x14ac:dyDescent="0.25">
      <c r="A333" s="508"/>
      <c r="B333" s="639" t="s">
        <v>321</v>
      </c>
      <c r="C333" s="640"/>
      <c r="D333" s="640"/>
      <c r="E333" s="640"/>
      <c r="F333" s="640"/>
      <c r="G333" s="640"/>
      <c r="H333" s="640"/>
      <c r="I333" s="641"/>
    </row>
    <row r="334" spans="1:11" ht="21.95" customHeight="1" thickBot="1" x14ac:dyDescent="0.25">
      <c r="A334" s="629" t="s">
        <v>261</v>
      </c>
      <c r="B334" s="631" t="s">
        <v>322</v>
      </c>
      <c r="C334" s="632"/>
      <c r="D334" s="632"/>
      <c r="E334" s="633"/>
      <c r="F334" s="634" t="s">
        <v>323</v>
      </c>
      <c r="G334" s="632"/>
      <c r="H334" s="632"/>
      <c r="I334" s="633"/>
    </row>
    <row r="335" spans="1:11" ht="40.15" customHeight="1" thickBot="1" x14ac:dyDescent="0.25">
      <c r="A335" s="630"/>
      <c r="B335" s="300" t="s">
        <v>53</v>
      </c>
      <c r="C335" s="300" t="s">
        <v>264</v>
      </c>
      <c r="D335" s="301" t="s">
        <v>240</v>
      </c>
      <c r="E335" s="302" t="s">
        <v>238</v>
      </c>
      <c r="F335" s="300" t="s">
        <v>53</v>
      </c>
      <c r="G335" s="300" t="s">
        <v>264</v>
      </c>
      <c r="H335" s="301" t="s">
        <v>240</v>
      </c>
      <c r="I335" s="303" t="s">
        <v>238</v>
      </c>
      <c r="J335" s="509"/>
      <c r="K335" s="509"/>
    </row>
    <row r="336" spans="1:11" ht="24.95" customHeight="1" thickBot="1" x14ac:dyDescent="0.25">
      <c r="A336" s="420" t="s">
        <v>324</v>
      </c>
      <c r="B336" s="407">
        <f>SUM(B337:B341)</f>
        <v>1267714</v>
      </c>
      <c r="C336" s="408">
        <f>SUM(C337:C341)</f>
        <v>432739</v>
      </c>
      <c r="D336" s="409">
        <f>SUM(D337:D341)</f>
        <v>427114.24900000001</v>
      </c>
      <c r="E336" s="510">
        <f t="shared" ref="E336:E375" si="60">D336/C336*100</f>
        <v>98.700197809765243</v>
      </c>
      <c r="F336" s="407">
        <f>SUM(F337:F341)</f>
        <v>0</v>
      </c>
      <c r="G336" s="408">
        <f>SUM(G337:G341)</f>
        <v>708829</v>
      </c>
      <c r="H336" s="409">
        <f>SUM(H337:H341)</f>
        <v>601464</v>
      </c>
      <c r="I336" s="510">
        <f>H336/G336*100</f>
        <v>84.853187440130128</v>
      </c>
      <c r="J336" s="511"/>
      <c r="K336" s="509"/>
    </row>
    <row r="337" spans="1:11" ht="15.75" customHeight="1" x14ac:dyDescent="0.2">
      <c r="A337" s="421" t="s">
        <v>266</v>
      </c>
      <c r="B337" s="346">
        <v>544800</v>
      </c>
      <c r="C337" s="350">
        <v>206642</v>
      </c>
      <c r="D337" s="512">
        <v>200716.78899999999</v>
      </c>
      <c r="E337" s="513">
        <f t="shared" si="60"/>
        <v>97.132620183699331</v>
      </c>
      <c r="F337" s="514">
        <v>0</v>
      </c>
      <c r="G337" s="347">
        <v>191852</v>
      </c>
      <c r="H337" s="515">
        <v>227968.09</v>
      </c>
      <c r="I337" s="455">
        <f t="shared" ref="I337:I376" si="61">H337/G337*100</f>
        <v>118.82497445947917</v>
      </c>
      <c r="J337" s="511"/>
      <c r="K337" s="509"/>
    </row>
    <row r="338" spans="1:11" ht="15.75" customHeight="1" x14ac:dyDescent="0.2">
      <c r="A338" s="421" t="s">
        <v>267</v>
      </c>
      <c r="B338" s="319">
        <v>222880</v>
      </c>
      <c r="C338" s="323">
        <v>42480</v>
      </c>
      <c r="D338" s="516">
        <v>42479.62</v>
      </c>
      <c r="E338" s="517">
        <f t="shared" si="60"/>
        <v>99.999105461393597</v>
      </c>
      <c r="F338" s="518">
        <v>0</v>
      </c>
      <c r="G338" s="347">
        <v>150400</v>
      </c>
      <c r="H338" s="515">
        <v>65570.16</v>
      </c>
      <c r="I338" s="423">
        <f t="shared" si="61"/>
        <v>43.597180851063833</v>
      </c>
      <c r="J338" s="511"/>
      <c r="K338" s="509"/>
    </row>
    <row r="339" spans="1:11" ht="15.75" customHeight="1" x14ac:dyDescent="0.2">
      <c r="A339" s="422" t="s">
        <v>268</v>
      </c>
      <c r="B339" s="319">
        <v>47502</v>
      </c>
      <c r="C339" s="323">
        <v>23263</v>
      </c>
      <c r="D339" s="516">
        <v>23263.08</v>
      </c>
      <c r="E339" s="517">
        <f t="shared" si="60"/>
        <v>100.00034389373684</v>
      </c>
      <c r="F339" s="518">
        <v>0</v>
      </c>
      <c r="G339" s="352">
        <v>22239</v>
      </c>
      <c r="H339" s="519">
        <v>58209.88</v>
      </c>
      <c r="I339" s="423">
        <f t="shared" si="61"/>
        <v>261.74684113494311</v>
      </c>
      <c r="J339" s="511"/>
      <c r="K339" s="509"/>
    </row>
    <row r="340" spans="1:11" ht="15.75" customHeight="1" x14ac:dyDescent="0.2">
      <c r="A340" s="421" t="s">
        <v>269</v>
      </c>
      <c r="B340" s="319">
        <v>452382</v>
      </c>
      <c r="C340" s="323">
        <v>151723</v>
      </c>
      <c r="D340" s="516">
        <v>151722.81</v>
      </c>
      <c r="E340" s="517">
        <f t="shared" si="60"/>
        <v>99.999874771788058</v>
      </c>
      <c r="F340" s="518">
        <v>0</v>
      </c>
      <c r="G340" s="352">
        <v>300659</v>
      </c>
      <c r="H340" s="519">
        <v>249419.27</v>
      </c>
      <c r="I340" s="423">
        <f t="shared" si="61"/>
        <v>82.957526633162487</v>
      </c>
      <c r="J340" s="511"/>
      <c r="K340" s="509"/>
    </row>
    <row r="341" spans="1:11" ht="15.75" customHeight="1" thickBot="1" x14ac:dyDescent="0.25">
      <c r="A341" s="421" t="s">
        <v>270</v>
      </c>
      <c r="B341" s="319">
        <v>150</v>
      </c>
      <c r="C341" s="323">
        <f>5825+2806</f>
        <v>8631</v>
      </c>
      <c r="D341" s="336">
        <f>100+5825.24+2806.55+200.16</f>
        <v>8931.9500000000007</v>
      </c>
      <c r="E341" s="517">
        <f t="shared" si="60"/>
        <v>103.48684972772564</v>
      </c>
      <c r="F341" s="518">
        <v>0</v>
      </c>
      <c r="G341" s="352">
        <f>2957+40722</f>
        <v>43679</v>
      </c>
      <c r="H341" s="519">
        <f>196.6+100</f>
        <v>296.60000000000002</v>
      </c>
      <c r="I341" s="423">
        <f t="shared" si="61"/>
        <v>0.67904484992788305</v>
      </c>
      <c r="J341" s="511"/>
      <c r="K341" s="509"/>
    </row>
    <row r="342" spans="1:11" ht="20.25" customHeight="1" thickBot="1" x14ac:dyDescent="0.25">
      <c r="A342" s="426" t="s">
        <v>271</v>
      </c>
      <c r="B342" s="407">
        <f>B346+B357+B358</f>
        <v>170517</v>
      </c>
      <c r="C342" s="408">
        <f>C346+C357+C358</f>
        <v>1037723</v>
      </c>
      <c r="D342" s="409">
        <f>D346+D357+D358</f>
        <v>1082043.78</v>
      </c>
      <c r="E342" s="520">
        <f t="shared" si="60"/>
        <v>104.2709644095775</v>
      </c>
      <c r="F342" s="407">
        <f t="shared" ref="F342:H342" si="62">F346+F357+F358</f>
        <v>0</v>
      </c>
      <c r="G342" s="408">
        <f t="shared" si="62"/>
        <v>180237</v>
      </c>
      <c r="H342" s="409">
        <f t="shared" si="62"/>
        <v>155815.93</v>
      </c>
      <c r="I342" s="454">
        <f t="shared" si="61"/>
        <v>86.450578959924982</v>
      </c>
      <c r="J342" s="509"/>
      <c r="K342" s="509"/>
    </row>
    <row r="343" spans="1:11" ht="15.75" customHeight="1" x14ac:dyDescent="0.2">
      <c r="A343" s="436" t="s">
        <v>272</v>
      </c>
      <c r="B343" s="319">
        <v>0</v>
      </c>
      <c r="C343" s="347">
        <v>0</v>
      </c>
      <c r="D343" s="515">
        <v>0</v>
      </c>
      <c r="E343" s="513"/>
      <c r="F343" s="514">
        <v>0</v>
      </c>
      <c r="G343" s="347">
        <v>0</v>
      </c>
      <c r="H343" s="515">
        <v>0</v>
      </c>
      <c r="I343" s="455"/>
    </row>
    <row r="344" spans="1:11" ht="15.75" customHeight="1" x14ac:dyDescent="0.2">
      <c r="A344" s="438" t="s">
        <v>273</v>
      </c>
      <c r="B344" s="319">
        <v>0</v>
      </c>
      <c r="C344" s="352">
        <v>0</v>
      </c>
      <c r="D344" s="519">
        <v>0</v>
      </c>
      <c r="E344" s="517"/>
      <c r="F344" s="518">
        <v>0</v>
      </c>
      <c r="G344" s="352">
        <v>0</v>
      </c>
      <c r="H344" s="519">
        <v>0</v>
      </c>
      <c r="I344" s="423"/>
    </row>
    <row r="345" spans="1:11" ht="15.75" customHeight="1" thickBot="1" x14ac:dyDescent="0.25">
      <c r="A345" s="428" t="s">
        <v>307</v>
      </c>
      <c r="B345" s="334">
        <v>0</v>
      </c>
      <c r="C345" s="521">
        <v>0</v>
      </c>
      <c r="D345" s="522">
        <f>56827.76-12507.6</f>
        <v>44320.160000000003</v>
      </c>
      <c r="E345" s="523"/>
      <c r="F345" s="524">
        <v>0</v>
      </c>
      <c r="G345" s="521">
        <v>0</v>
      </c>
      <c r="H345" s="525">
        <v>0</v>
      </c>
      <c r="I345" s="425"/>
    </row>
    <row r="346" spans="1:11" ht="32.450000000000003" customHeight="1" thickBot="1" x14ac:dyDescent="0.25">
      <c r="A346" s="472" t="s">
        <v>275</v>
      </c>
      <c r="B346" s="485">
        <f>SUM(B343:B345)</f>
        <v>0</v>
      </c>
      <c r="C346" s="486">
        <f>SUM(C343:C345)</f>
        <v>0</v>
      </c>
      <c r="D346" s="487">
        <f>SUM(D343:D345)</f>
        <v>44320.160000000003</v>
      </c>
      <c r="E346" s="520"/>
      <c r="F346" s="485">
        <f t="shared" ref="F346:H346" si="63">SUM(F343:F345)</f>
        <v>0</v>
      </c>
      <c r="G346" s="486">
        <f t="shared" si="63"/>
        <v>0</v>
      </c>
      <c r="H346" s="487">
        <f t="shared" si="63"/>
        <v>0</v>
      </c>
      <c r="I346" s="454"/>
    </row>
    <row r="347" spans="1:11" ht="15.75" customHeight="1" x14ac:dyDescent="0.2">
      <c r="A347" s="469" t="s">
        <v>276</v>
      </c>
      <c r="B347" s="319">
        <v>0</v>
      </c>
      <c r="C347" s="347">
        <v>0</v>
      </c>
      <c r="D347" s="515">
        <v>0</v>
      </c>
      <c r="E347" s="513"/>
      <c r="F347" s="514">
        <v>0</v>
      </c>
      <c r="G347" s="347">
        <v>0</v>
      </c>
      <c r="H347" s="515">
        <v>0</v>
      </c>
      <c r="I347" s="455"/>
    </row>
    <row r="348" spans="1:11" ht="15.75" customHeight="1" x14ac:dyDescent="0.2">
      <c r="A348" s="422" t="s">
        <v>309</v>
      </c>
      <c r="B348" s="319">
        <v>0</v>
      </c>
      <c r="C348" s="352">
        <v>0</v>
      </c>
      <c r="D348" s="519">
        <v>0</v>
      </c>
      <c r="E348" s="517"/>
      <c r="F348" s="518">
        <v>0</v>
      </c>
      <c r="G348" s="352">
        <v>0</v>
      </c>
      <c r="H348" s="519">
        <v>0</v>
      </c>
      <c r="I348" s="423"/>
    </row>
    <row r="349" spans="1:11" ht="15.75" customHeight="1" x14ac:dyDescent="0.2">
      <c r="A349" s="422" t="s">
        <v>278</v>
      </c>
      <c r="B349" s="319">
        <v>0</v>
      </c>
      <c r="C349" s="352">
        <v>0</v>
      </c>
      <c r="D349" s="519">
        <v>0</v>
      </c>
      <c r="E349" s="517"/>
      <c r="F349" s="518">
        <v>0</v>
      </c>
      <c r="G349" s="352">
        <v>0</v>
      </c>
      <c r="H349" s="519">
        <v>0</v>
      </c>
      <c r="I349" s="423"/>
    </row>
    <row r="350" spans="1:11" ht="15.75" customHeight="1" x14ac:dyDescent="0.2">
      <c r="A350" s="422" t="s">
        <v>279</v>
      </c>
      <c r="B350" s="319">
        <v>0</v>
      </c>
      <c r="C350" s="352">
        <v>0</v>
      </c>
      <c r="D350" s="519">
        <v>0</v>
      </c>
      <c r="E350" s="517"/>
      <c r="F350" s="518">
        <v>0</v>
      </c>
      <c r="G350" s="352">
        <v>0</v>
      </c>
      <c r="H350" s="519">
        <v>0</v>
      </c>
      <c r="I350" s="423"/>
    </row>
    <row r="351" spans="1:11" ht="15.75" customHeight="1" x14ac:dyDescent="0.2">
      <c r="A351" s="431" t="s">
        <v>280</v>
      </c>
      <c r="B351" s="319">
        <v>0</v>
      </c>
      <c r="C351" s="352">
        <v>0</v>
      </c>
      <c r="D351" s="519">
        <v>0</v>
      </c>
      <c r="E351" s="517"/>
      <c r="F351" s="518">
        <v>0</v>
      </c>
      <c r="G351" s="352">
        <v>0</v>
      </c>
      <c r="H351" s="519">
        <v>0</v>
      </c>
      <c r="I351" s="423"/>
    </row>
    <row r="352" spans="1:11" ht="15.75" customHeight="1" x14ac:dyDescent="0.2">
      <c r="A352" s="431" t="s">
        <v>281</v>
      </c>
      <c r="B352" s="319">
        <v>0</v>
      </c>
      <c r="C352" s="352">
        <v>0</v>
      </c>
      <c r="D352" s="519">
        <v>0</v>
      </c>
      <c r="E352" s="517"/>
      <c r="F352" s="518">
        <v>0</v>
      </c>
      <c r="G352" s="352">
        <v>0</v>
      </c>
      <c r="H352" s="519">
        <v>0</v>
      </c>
      <c r="I352" s="423"/>
    </row>
    <row r="353" spans="1:10" ht="15.75" customHeight="1" x14ac:dyDescent="0.2">
      <c r="A353" s="431" t="s">
        <v>282</v>
      </c>
      <c r="B353" s="319">
        <v>0</v>
      </c>
      <c r="C353" s="352">
        <v>0</v>
      </c>
      <c r="D353" s="519">
        <v>0</v>
      </c>
      <c r="E353" s="517"/>
      <c r="F353" s="518">
        <v>0</v>
      </c>
      <c r="G353" s="352">
        <v>0</v>
      </c>
      <c r="H353" s="519">
        <v>0</v>
      </c>
      <c r="I353" s="423"/>
    </row>
    <row r="354" spans="1:10" ht="15.75" customHeight="1" x14ac:dyDescent="0.2">
      <c r="A354" s="431" t="s">
        <v>283</v>
      </c>
      <c r="B354" s="319">
        <v>0</v>
      </c>
      <c r="C354" s="352">
        <v>0</v>
      </c>
      <c r="D354" s="519">
        <v>0</v>
      </c>
      <c r="E354" s="517"/>
      <c r="F354" s="518">
        <v>0</v>
      </c>
      <c r="G354" s="352">
        <v>0</v>
      </c>
      <c r="H354" s="519">
        <v>0</v>
      </c>
      <c r="I354" s="423"/>
    </row>
    <row r="355" spans="1:10" ht="15.75" customHeight="1" x14ac:dyDescent="0.2">
      <c r="A355" s="431" t="s">
        <v>284</v>
      </c>
      <c r="B355" s="319">
        <v>0</v>
      </c>
      <c r="C355" s="352">
        <v>0</v>
      </c>
      <c r="D355" s="519">
        <v>0</v>
      </c>
      <c r="E355" s="517"/>
      <c r="F355" s="518">
        <v>0</v>
      </c>
      <c r="G355" s="352">
        <v>0</v>
      </c>
      <c r="H355" s="519">
        <v>0</v>
      </c>
      <c r="I355" s="423"/>
    </row>
    <row r="356" spans="1:10" ht="15.75" customHeight="1" thickBot="1" x14ac:dyDescent="0.25">
      <c r="A356" s="427" t="s">
        <v>285</v>
      </c>
      <c r="B356" s="524">
        <v>170517</v>
      </c>
      <c r="C356" s="521">
        <v>34009</v>
      </c>
      <c r="D356" s="519">
        <v>34009.47</v>
      </c>
      <c r="E356" s="523">
        <f t="shared" si="60"/>
        <v>100.00138198712105</v>
      </c>
      <c r="F356" s="524">
        <v>0</v>
      </c>
      <c r="G356" s="521">
        <f>139463+49</f>
        <v>139512</v>
      </c>
      <c r="H356" s="522">
        <f>115055.32+39</f>
        <v>115094.32</v>
      </c>
      <c r="I356" s="425">
        <f t="shared" si="61"/>
        <v>82.497792304604616</v>
      </c>
      <c r="J356" s="526"/>
    </row>
    <row r="357" spans="1:10" ht="16.5" customHeight="1" thickBot="1" x14ac:dyDescent="0.25">
      <c r="A357" s="439" t="s">
        <v>286</v>
      </c>
      <c r="B357" s="488">
        <f>SUM(B347:B356)</f>
        <v>170517</v>
      </c>
      <c r="C357" s="489">
        <f>SUM(C347:C356)</f>
        <v>34009</v>
      </c>
      <c r="D357" s="490">
        <f>SUM(D347:D356)</f>
        <v>34009.47</v>
      </c>
      <c r="E357" s="520">
        <f t="shared" si="60"/>
        <v>100.00138198712105</v>
      </c>
      <c r="F357" s="488">
        <f t="shared" ref="F357:H357" si="64">SUM(F347:F356)</f>
        <v>0</v>
      </c>
      <c r="G357" s="489">
        <f t="shared" si="64"/>
        <v>139512</v>
      </c>
      <c r="H357" s="490">
        <f t="shared" si="64"/>
        <v>115094.32</v>
      </c>
      <c r="I357" s="454">
        <f t="shared" si="61"/>
        <v>82.497792304604616</v>
      </c>
    </row>
    <row r="358" spans="1:10" ht="17.25" customHeight="1" thickBot="1" x14ac:dyDescent="0.25">
      <c r="A358" s="439" t="s">
        <v>287</v>
      </c>
      <c r="B358" s="372">
        <v>0</v>
      </c>
      <c r="C358" s="489">
        <f>5825+997889</f>
        <v>1003714</v>
      </c>
      <c r="D358" s="490">
        <f>5825.24+997888.91</f>
        <v>1003714.15</v>
      </c>
      <c r="E358" s="520">
        <f t="shared" si="60"/>
        <v>100.00001494449616</v>
      </c>
      <c r="F358" s="488">
        <v>0</v>
      </c>
      <c r="G358" s="489">
        <v>40725</v>
      </c>
      <c r="H358" s="490">
        <v>40721.61</v>
      </c>
      <c r="I358" s="454">
        <f t="shared" si="61"/>
        <v>99.991675874769797</v>
      </c>
    </row>
    <row r="359" spans="1:10" ht="24.75" customHeight="1" thickBot="1" x14ac:dyDescent="0.25">
      <c r="A359" s="426" t="s">
        <v>288</v>
      </c>
      <c r="B359" s="407">
        <f>B360+B361+B362+B363+B364+B365+B366</f>
        <v>7984706</v>
      </c>
      <c r="C359" s="408">
        <f>C360+C361+C362+C363+C364+C365+C366</f>
        <v>3304300</v>
      </c>
      <c r="D359" s="409">
        <f>D360+D361+D362+D363+D364+D365+D366</f>
        <v>3171269.06</v>
      </c>
      <c r="E359" s="520">
        <f t="shared" si="60"/>
        <v>95.974005386920084</v>
      </c>
      <c r="F359" s="407">
        <f t="shared" ref="F359:H359" si="65">F360+F361+F362+F363+F364+F365+F366</f>
        <v>0</v>
      </c>
      <c r="G359" s="408">
        <f t="shared" si="65"/>
        <v>4112393</v>
      </c>
      <c r="H359" s="409">
        <f t="shared" si="65"/>
        <v>4050391.49</v>
      </c>
      <c r="I359" s="454">
        <f t="shared" si="61"/>
        <v>98.492325271441715</v>
      </c>
    </row>
    <row r="360" spans="1:10" ht="15.75" customHeight="1" x14ac:dyDescent="0.2">
      <c r="A360" s="435" t="s">
        <v>325</v>
      </c>
      <c r="B360" s="319">
        <v>0</v>
      </c>
      <c r="C360" s="323">
        <v>0</v>
      </c>
      <c r="D360" s="515">
        <v>0</v>
      </c>
      <c r="E360" s="513"/>
      <c r="F360" s="514">
        <v>0</v>
      </c>
      <c r="G360" s="347">
        <v>0</v>
      </c>
      <c r="H360" s="515">
        <v>0</v>
      </c>
      <c r="I360" s="455"/>
    </row>
    <row r="361" spans="1:10" ht="15.75" customHeight="1" x14ac:dyDescent="0.2">
      <c r="A361" s="436" t="s">
        <v>290</v>
      </c>
      <c r="B361" s="319">
        <v>974351</v>
      </c>
      <c r="C361" s="323">
        <v>390030</v>
      </c>
      <c r="D361" s="519">
        <v>308457.90999999997</v>
      </c>
      <c r="E361" s="517">
        <f t="shared" si="60"/>
        <v>79.08568828038868</v>
      </c>
      <c r="F361" s="518">
        <v>0</v>
      </c>
      <c r="G361" s="352">
        <v>597676</v>
      </c>
      <c r="H361" s="519">
        <v>581917.9</v>
      </c>
      <c r="I361" s="423">
        <f t="shared" si="61"/>
        <v>97.363437715417717</v>
      </c>
    </row>
    <row r="362" spans="1:10" ht="15.75" customHeight="1" x14ac:dyDescent="0.2">
      <c r="A362" s="437" t="s">
        <v>291</v>
      </c>
      <c r="B362" s="319">
        <v>110250</v>
      </c>
      <c r="C362" s="323">
        <v>57782</v>
      </c>
      <c r="D362" s="519">
        <v>57773.42</v>
      </c>
      <c r="E362" s="517">
        <f t="shared" si="60"/>
        <v>99.985151085113017</v>
      </c>
      <c r="F362" s="518">
        <v>0</v>
      </c>
      <c r="G362" s="352">
        <v>59813</v>
      </c>
      <c r="H362" s="519">
        <v>31413</v>
      </c>
      <c r="I362" s="423">
        <f t="shared" si="61"/>
        <v>52.518683229398292</v>
      </c>
    </row>
    <row r="363" spans="1:10" ht="15.75" customHeight="1" x14ac:dyDescent="0.2">
      <c r="A363" s="437" t="s">
        <v>326</v>
      </c>
      <c r="B363" s="319">
        <v>5603917</v>
      </c>
      <c r="C363" s="323">
        <v>1918601</v>
      </c>
      <c r="D363" s="519">
        <v>1874096.44</v>
      </c>
      <c r="E363" s="517">
        <f t="shared" si="60"/>
        <v>97.680363973541134</v>
      </c>
      <c r="F363" s="518">
        <v>0</v>
      </c>
      <c r="G363" s="352">
        <v>3081605</v>
      </c>
      <c r="H363" s="519">
        <v>3095140.72</v>
      </c>
      <c r="I363" s="423">
        <f t="shared" si="61"/>
        <v>100.43924253757378</v>
      </c>
    </row>
    <row r="364" spans="1:10" ht="15.75" customHeight="1" x14ac:dyDescent="0.2">
      <c r="A364" s="437" t="s">
        <v>327</v>
      </c>
      <c r="B364" s="319">
        <v>705088</v>
      </c>
      <c r="C364" s="323">
        <v>422104</v>
      </c>
      <c r="D364" s="519">
        <v>422116.06</v>
      </c>
      <c r="E364" s="517">
        <f t="shared" si="60"/>
        <v>100.00285711578189</v>
      </c>
      <c r="F364" s="518">
        <v>0</v>
      </c>
      <c r="G364" s="352">
        <f>373348-49</f>
        <v>373299</v>
      </c>
      <c r="H364" s="519">
        <f>341958.87-39</f>
        <v>341919.87</v>
      </c>
      <c r="I364" s="423">
        <f t="shared" si="61"/>
        <v>91.594102850530007</v>
      </c>
    </row>
    <row r="365" spans="1:10" ht="15.75" customHeight="1" x14ac:dyDescent="0.2">
      <c r="A365" s="437" t="s">
        <v>328</v>
      </c>
      <c r="B365" s="319">
        <v>515814</v>
      </c>
      <c r="C365" s="323">
        <v>441073</v>
      </c>
      <c r="D365" s="519">
        <v>433099.88</v>
      </c>
      <c r="E365" s="517">
        <f t="shared" si="60"/>
        <v>98.192335509088068</v>
      </c>
      <c r="F365" s="518">
        <v>0</v>
      </c>
      <c r="G365" s="352">
        <v>0</v>
      </c>
      <c r="H365" s="519">
        <v>0</v>
      </c>
      <c r="I365" s="423"/>
    </row>
    <row r="366" spans="1:10" ht="15.75" customHeight="1" thickBot="1" x14ac:dyDescent="0.25">
      <c r="A366" s="438" t="s">
        <v>329</v>
      </c>
      <c r="B366" s="334">
        <v>75286</v>
      </c>
      <c r="C366" s="335">
        <v>74710</v>
      </c>
      <c r="D366" s="522">
        <v>75725.350000000006</v>
      </c>
      <c r="E366" s="523">
        <f t="shared" si="60"/>
        <v>101.35905501271584</v>
      </c>
      <c r="F366" s="524">
        <v>0</v>
      </c>
      <c r="G366" s="521">
        <v>0</v>
      </c>
      <c r="H366" s="522">
        <v>0</v>
      </c>
      <c r="I366" s="425"/>
    </row>
    <row r="367" spans="1:10" s="378" customFormat="1" ht="21" customHeight="1" thickBot="1" x14ac:dyDescent="0.25">
      <c r="A367" s="439" t="s">
        <v>294</v>
      </c>
      <c r="B367" s="372">
        <v>452382</v>
      </c>
      <c r="C367" s="376">
        <v>122850</v>
      </c>
      <c r="D367" s="490">
        <v>122850.09</v>
      </c>
      <c r="E367" s="527">
        <f t="shared" si="60"/>
        <v>100.00007326007325</v>
      </c>
      <c r="F367" s="488">
        <v>0</v>
      </c>
      <c r="G367" s="489">
        <v>329532</v>
      </c>
      <c r="H367" s="490">
        <v>290191.95</v>
      </c>
      <c r="I367" s="528">
        <f t="shared" si="61"/>
        <v>88.061842249007682</v>
      </c>
    </row>
    <row r="368" spans="1:10" s="378" customFormat="1" ht="21" customHeight="1" thickBot="1" x14ac:dyDescent="0.25">
      <c r="A368" s="439" t="s">
        <v>295</v>
      </c>
      <c r="B368" s="372">
        <v>254880</v>
      </c>
      <c r="C368" s="376">
        <v>32346</v>
      </c>
      <c r="D368" s="490">
        <v>32346</v>
      </c>
      <c r="E368" s="527">
        <f t="shared" si="60"/>
        <v>100</v>
      </c>
      <c r="F368" s="488">
        <v>0</v>
      </c>
      <c r="G368" s="489">
        <v>222534</v>
      </c>
      <c r="H368" s="490">
        <v>69213.600000000006</v>
      </c>
      <c r="I368" s="528">
        <f t="shared" si="61"/>
        <v>31.102483216047887</v>
      </c>
    </row>
    <row r="369" spans="1:9" s="378" customFormat="1" ht="21" customHeight="1" thickBot="1" x14ac:dyDescent="0.25">
      <c r="A369" s="439" t="s">
        <v>296</v>
      </c>
      <c r="B369" s="372">
        <v>0</v>
      </c>
      <c r="C369" s="376">
        <v>0</v>
      </c>
      <c r="D369" s="490">
        <v>12507.6</v>
      </c>
      <c r="E369" s="527"/>
      <c r="F369" s="488">
        <v>0</v>
      </c>
      <c r="G369" s="489">
        <v>0</v>
      </c>
      <c r="H369" s="490">
        <v>0</v>
      </c>
      <c r="I369" s="528"/>
    </row>
    <row r="370" spans="1:9" ht="19.5" customHeight="1" thickBot="1" x14ac:dyDescent="0.25">
      <c r="A370" s="429" t="s">
        <v>297</v>
      </c>
      <c r="B370" s="309">
        <f t="shared" ref="B370" si="66">SUM(B371:B372)</f>
        <v>0</v>
      </c>
      <c r="C370" s="306">
        <f t="shared" ref="C370:D370" si="67">SUM(C371:C372)</f>
        <v>0</v>
      </c>
      <c r="D370" s="307">
        <f t="shared" si="67"/>
        <v>20000</v>
      </c>
      <c r="E370" s="520"/>
      <c r="F370" s="309">
        <f t="shared" ref="F370:H370" si="68">SUM(F371:F372)</f>
        <v>0</v>
      </c>
      <c r="G370" s="306">
        <f t="shared" si="68"/>
        <v>0</v>
      </c>
      <c r="H370" s="307">
        <f t="shared" si="68"/>
        <v>0</v>
      </c>
      <c r="I370" s="528"/>
    </row>
    <row r="371" spans="1:9" ht="15.75" customHeight="1" thickBot="1" x14ac:dyDescent="0.25">
      <c r="A371" s="389" t="s">
        <v>330</v>
      </c>
      <c r="B371" s="529">
        <v>0</v>
      </c>
      <c r="C371" s="530">
        <v>0</v>
      </c>
      <c r="D371" s="531">
        <v>20000</v>
      </c>
      <c r="E371" s="455"/>
      <c r="F371" s="514">
        <v>0</v>
      </c>
      <c r="G371" s="347">
        <v>0</v>
      </c>
      <c r="H371" s="515">
        <v>0</v>
      </c>
      <c r="I371" s="455"/>
    </row>
    <row r="372" spans="1:9" ht="15.75" customHeight="1" thickBot="1" x14ac:dyDescent="0.25">
      <c r="A372" s="396" t="s">
        <v>299</v>
      </c>
      <c r="B372" s="532">
        <v>0</v>
      </c>
      <c r="C372" s="533">
        <v>0</v>
      </c>
      <c r="D372" s="534">
        <v>0</v>
      </c>
      <c r="E372" s="425"/>
      <c r="F372" s="524">
        <v>0</v>
      </c>
      <c r="G372" s="521">
        <v>0</v>
      </c>
      <c r="H372" s="522">
        <v>0</v>
      </c>
      <c r="I372" s="425"/>
    </row>
    <row r="373" spans="1:9" ht="17.25" customHeight="1" thickBot="1" x14ac:dyDescent="0.25">
      <c r="A373" s="444" t="s">
        <v>300</v>
      </c>
      <c r="B373" s="407">
        <f t="shared" ref="B373:C373" si="69">B342+B359+B370+B367+B368+B369</f>
        <v>8862485</v>
      </c>
      <c r="C373" s="408">
        <f t="shared" si="69"/>
        <v>4497219</v>
      </c>
      <c r="D373" s="409">
        <f>D342+D359+D370+D367+D368+D369</f>
        <v>4441016.5299999993</v>
      </c>
      <c r="E373" s="520">
        <f t="shared" si="60"/>
        <v>98.750283897670968</v>
      </c>
      <c r="F373" s="407">
        <f t="shared" ref="F373:H373" si="70">F342+F359+F370+F367+F368+F369</f>
        <v>0</v>
      </c>
      <c r="G373" s="408">
        <f t="shared" si="70"/>
        <v>4844696</v>
      </c>
      <c r="H373" s="409">
        <f t="shared" si="70"/>
        <v>4565612.97</v>
      </c>
      <c r="I373" s="528">
        <f t="shared" si="61"/>
        <v>94.239410893893023</v>
      </c>
    </row>
    <row r="374" spans="1:9" ht="15.75" customHeight="1" x14ac:dyDescent="0.2">
      <c r="A374" s="442" t="s">
        <v>301</v>
      </c>
      <c r="B374" s="346">
        <v>0</v>
      </c>
      <c r="C374" s="411">
        <v>0</v>
      </c>
      <c r="D374" s="412">
        <v>0</v>
      </c>
      <c r="E374" s="455"/>
      <c r="F374" s="535">
        <f>SUM(F319+B374)</f>
        <v>0</v>
      </c>
      <c r="G374" s="411">
        <f>SUM(G319+C374)</f>
        <v>0</v>
      </c>
      <c r="H374" s="412">
        <f>SUM(H319+D374)</f>
        <v>0</v>
      </c>
      <c r="I374" s="455"/>
    </row>
    <row r="375" spans="1:9" s="434" customFormat="1" ht="15.75" customHeight="1" thickBot="1" x14ac:dyDescent="0.25">
      <c r="A375" s="443" t="s">
        <v>302</v>
      </c>
      <c r="B375" s="536">
        <v>0</v>
      </c>
      <c r="C375" s="537">
        <v>33400</v>
      </c>
      <c r="D375" s="538">
        <v>32900</v>
      </c>
      <c r="E375" s="517">
        <f t="shared" si="60"/>
        <v>98.502994011976057</v>
      </c>
      <c r="F375" s="539">
        <f>SUM(F320+B375)</f>
        <v>0</v>
      </c>
      <c r="G375" s="537">
        <v>0</v>
      </c>
      <c r="H375" s="538">
        <v>0</v>
      </c>
      <c r="I375" s="517"/>
    </row>
    <row r="376" spans="1:9" ht="17.25" customHeight="1" thickBot="1" x14ac:dyDescent="0.25">
      <c r="A376" s="540" t="s">
        <v>331</v>
      </c>
      <c r="B376" s="541">
        <f>SUM(B373:B375)</f>
        <v>8862485</v>
      </c>
      <c r="C376" s="542">
        <f>SUM(C373:C375)</f>
        <v>4530619</v>
      </c>
      <c r="D376" s="543">
        <f>SUM(D373:D375)</f>
        <v>4473916.5299999993</v>
      </c>
      <c r="E376" s="544">
        <f>D376/C376*100</f>
        <v>98.748460861529068</v>
      </c>
      <c r="F376" s="541">
        <f t="shared" ref="F376:H376" si="71">SUM(F373:F375)</f>
        <v>0</v>
      </c>
      <c r="G376" s="542">
        <f t="shared" si="71"/>
        <v>4844696</v>
      </c>
      <c r="H376" s="543">
        <f t="shared" si="71"/>
        <v>4565612.97</v>
      </c>
      <c r="I376" s="545">
        <f t="shared" si="61"/>
        <v>94.239410893893023</v>
      </c>
    </row>
    <row r="377" spans="1:9" ht="17.25" customHeight="1" x14ac:dyDescent="0.2">
      <c r="A377" s="504"/>
      <c r="B377" s="417"/>
      <c r="C377" s="417"/>
      <c r="D377" s="546"/>
      <c r="E377" s="417"/>
      <c r="F377" s="417"/>
      <c r="G377" s="417"/>
      <c r="H377" s="546"/>
      <c r="I377" s="547"/>
    </row>
    <row r="378" spans="1:9" ht="17.25" customHeight="1" x14ac:dyDescent="0.2">
      <c r="A378" s="504"/>
      <c r="B378" s="417"/>
      <c r="C378" s="417"/>
      <c r="D378" s="546"/>
      <c r="E378" s="417"/>
      <c r="F378" s="417"/>
      <c r="G378" s="417"/>
      <c r="H378" s="546"/>
      <c r="I378" s="547"/>
    </row>
    <row r="379" spans="1:9" ht="17.25" customHeight="1" x14ac:dyDescent="0.2">
      <c r="A379" s="504"/>
      <c r="B379" s="417"/>
      <c r="C379" s="417"/>
      <c r="D379" s="546"/>
      <c r="E379" s="417"/>
      <c r="F379" s="417"/>
      <c r="G379" s="417"/>
      <c r="H379" s="546"/>
      <c r="I379" s="547"/>
    </row>
    <row r="380" spans="1:9" ht="17.25" customHeight="1" x14ac:dyDescent="0.2">
      <c r="A380" s="504"/>
      <c r="B380" s="417"/>
      <c r="C380" s="417"/>
      <c r="D380" s="546"/>
      <c r="E380" s="417"/>
      <c r="F380" s="417"/>
      <c r="G380" s="417"/>
      <c r="H380" s="546"/>
      <c r="I380" s="547"/>
    </row>
    <row r="381" spans="1:9" ht="17.25" customHeight="1" x14ac:dyDescent="0.2">
      <c r="A381" s="504"/>
      <c r="B381" s="417"/>
      <c r="C381" s="417"/>
      <c r="D381" s="546"/>
      <c r="E381" s="417"/>
      <c r="F381" s="417"/>
      <c r="G381" s="417"/>
      <c r="H381" s="546"/>
      <c r="I381" s="547"/>
    </row>
    <row r="382" spans="1:9" ht="21" customHeight="1" x14ac:dyDescent="0.2">
      <c r="A382" s="504"/>
      <c r="B382" s="417"/>
      <c r="C382" s="417"/>
      <c r="D382" s="546"/>
      <c r="E382" s="417"/>
      <c r="F382" s="417"/>
      <c r="G382" s="417"/>
      <c r="H382" s="546"/>
      <c r="I382" s="547"/>
    </row>
    <row r="383" spans="1:9" ht="17.25" customHeight="1" x14ac:dyDescent="0.2">
      <c r="A383" s="504"/>
      <c r="B383" s="417"/>
      <c r="C383" s="417"/>
      <c r="D383" s="546"/>
      <c r="E383" s="417"/>
      <c r="F383" s="417"/>
      <c r="G383" s="417"/>
      <c r="H383" s="546"/>
      <c r="I383" s="547"/>
    </row>
    <row r="384" spans="1:9" ht="17.25" customHeight="1" x14ac:dyDescent="0.2">
      <c r="A384" s="504"/>
      <c r="B384" s="417"/>
      <c r="C384" s="417"/>
      <c r="D384" s="546"/>
      <c r="E384" s="417"/>
      <c r="F384" s="417"/>
      <c r="G384" s="417"/>
      <c r="H384" s="635" t="s">
        <v>332</v>
      </c>
      <c r="I384" s="635"/>
    </row>
    <row r="385" spans="1:9" ht="16.149999999999999" customHeight="1" thickBot="1" x14ac:dyDescent="0.25">
      <c r="I385" s="468" t="s">
        <v>260</v>
      </c>
    </row>
    <row r="386" spans="1:9" ht="21.95" customHeight="1" thickBot="1" x14ac:dyDescent="0.25">
      <c r="A386" s="629" t="s">
        <v>261</v>
      </c>
      <c r="B386" s="634" t="s">
        <v>333</v>
      </c>
      <c r="C386" s="632"/>
      <c r="D386" s="632"/>
      <c r="E386" s="633"/>
      <c r="F386" s="634" t="s">
        <v>334</v>
      </c>
      <c r="G386" s="632"/>
      <c r="H386" s="632"/>
      <c r="I386" s="633"/>
    </row>
    <row r="387" spans="1:9" ht="41.45" customHeight="1" thickBot="1" x14ac:dyDescent="0.25">
      <c r="A387" s="630"/>
      <c r="B387" s="300" t="s">
        <v>53</v>
      </c>
      <c r="C387" s="300" t="s">
        <v>264</v>
      </c>
      <c r="D387" s="301" t="s">
        <v>240</v>
      </c>
      <c r="E387" s="302" t="s">
        <v>238</v>
      </c>
      <c r="F387" s="300" t="s">
        <v>53</v>
      </c>
      <c r="G387" s="300" t="s">
        <v>264</v>
      </c>
      <c r="H387" s="301" t="s">
        <v>240</v>
      </c>
      <c r="I387" s="303" t="s">
        <v>238</v>
      </c>
    </row>
    <row r="388" spans="1:9" ht="24.95" customHeight="1" thickBot="1" x14ac:dyDescent="0.25">
      <c r="A388" s="420" t="s">
        <v>324</v>
      </c>
      <c r="B388" s="407">
        <f>SUM(B389:B393)</f>
        <v>1267714</v>
      </c>
      <c r="C388" s="408">
        <f>SUM(C389:C393)</f>
        <v>1141568</v>
      </c>
      <c r="D388" s="409">
        <f>SUM(D389:D393)</f>
        <v>1028578.249</v>
      </c>
      <c r="E388" s="510">
        <f t="shared" ref="E388:E394" si="72">D388/C388*100</f>
        <v>90.102232105314798</v>
      </c>
      <c r="F388" s="407">
        <f t="shared" ref="F388:H388" si="73">SUM(F389:F393)</f>
        <v>2388433</v>
      </c>
      <c r="G388" s="408">
        <f t="shared" si="73"/>
        <v>2025531</v>
      </c>
      <c r="H388" s="409">
        <f t="shared" si="73"/>
        <v>1895139.419</v>
      </c>
      <c r="I388" s="548">
        <f t="shared" ref="I388:I428" si="74">H388/G388*100</f>
        <v>93.562597610206893</v>
      </c>
    </row>
    <row r="389" spans="1:9" ht="15.75" customHeight="1" x14ac:dyDescent="0.2">
      <c r="A389" s="421" t="s">
        <v>266</v>
      </c>
      <c r="B389" s="514">
        <f t="shared" ref="B389:D393" si="75">SUM(B337+F337)</f>
        <v>544800</v>
      </c>
      <c r="C389" s="347">
        <f t="shared" si="75"/>
        <v>398494</v>
      </c>
      <c r="D389" s="515">
        <f t="shared" si="75"/>
        <v>428684.87899999996</v>
      </c>
      <c r="E389" s="513">
        <f t="shared" si="72"/>
        <v>107.57624430982648</v>
      </c>
      <c r="F389" s="514">
        <f t="shared" ref="F389:H393" si="76">SUM(F284+B337+F337)</f>
        <v>1014200</v>
      </c>
      <c r="G389" s="347">
        <f t="shared" si="76"/>
        <v>730062</v>
      </c>
      <c r="H389" s="515">
        <f t="shared" si="76"/>
        <v>750087.25899999996</v>
      </c>
      <c r="I389" s="513">
        <f t="shared" si="74"/>
        <v>102.74295320123497</v>
      </c>
    </row>
    <row r="390" spans="1:9" ht="15.75" customHeight="1" x14ac:dyDescent="0.2">
      <c r="A390" s="421" t="s">
        <v>267</v>
      </c>
      <c r="B390" s="514">
        <f t="shared" si="75"/>
        <v>222880</v>
      </c>
      <c r="C390" s="347">
        <f t="shared" si="75"/>
        <v>192880</v>
      </c>
      <c r="D390" s="515">
        <f t="shared" si="75"/>
        <v>108049.78</v>
      </c>
      <c r="E390" s="517">
        <f t="shared" si="72"/>
        <v>56.019172542513488</v>
      </c>
      <c r="F390" s="514">
        <f t="shared" si="76"/>
        <v>575612</v>
      </c>
      <c r="G390" s="347">
        <f t="shared" si="76"/>
        <v>416538</v>
      </c>
      <c r="H390" s="515">
        <f t="shared" si="76"/>
        <v>301900.70999999996</v>
      </c>
      <c r="I390" s="513">
        <f t="shared" si="74"/>
        <v>72.478551776788663</v>
      </c>
    </row>
    <row r="391" spans="1:9" ht="15.75" customHeight="1" x14ac:dyDescent="0.2">
      <c r="A391" s="422" t="s">
        <v>268</v>
      </c>
      <c r="B391" s="514">
        <f t="shared" si="75"/>
        <v>47502</v>
      </c>
      <c r="C391" s="347">
        <f t="shared" si="75"/>
        <v>45502</v>
      </c>
      <c r="D391" s="515">
        <f t="shared" si="75"/>
        <v>81472.959999999992</v>
      </c>
      <c r="E391" s="517">
        <f t="shared" si="72"/>
        <v>179.05358006241482</v>
      </c>
      <c r="F391" s="514">
        <f t="shared" si="76"/>
        <v>155622</v>
      </c>
      <c r="G391" s="347">
        <f t="shared" si="76"/>
        <v>144469</v>
      </c>
      <c r="H391" s="515">
        <f t="shared" si="76"/>
        <v>172606.04</v>
      </c>
      <c r="I391" s="513">
        <f t="shared" si="74"/>
        <v>119.47617828046155</v>
      </c>
    </row>
    <row r="392" spans="1:9" ht="15.75" customHeight="1" x14ac:dyDescent="0.2">
      <c r="A392" s="421" t="s">
        <v>269</v>
      </c>
      <c r="B392" s="514">
        <f t="shared" si="75"/>
        <v>452382</v>
      </c>
      <c r="C392" s="347">
        <f t="shared" si="75"/>
        <v>452382</v>
      </c>
      <c r="D392" s="515">
        <f t="shared" si="75"/>
        <v>401142.07999999996</v>
      </c>
      <c r="E392" s="517">
        <f t="shared" si="72"/>
        <v>88.673307072341515</v>
      </c>
      <c r="F392" s="514">
        <f t="shared" si="76"/>
        <v>638753</v>
      </c>
      <c r="G392" s="347">
        <f t="shared" si="76"/>
        <v>638753</v>
      </c>
      <c r="H392" s="515">
        <f t="shared" si="76"/>
        <v>606315.38</v>
      </c>
      <c r="I392" s="513">
        <f t="shared" si="74"/>
        <v>94.92172717779799</v>
      </c>
    </row>
    <row r="393" spans="1:9" ht="15.75" customHeight="1" thickBot="1" x14ac:dyDescent="0.25">
      <c r="A393" s="421" t="s">
        <v>270</v>
      </c>
      <c r="B393" s="514">
        <f t="shared" si="75"/>
        <v>150</v>
      </c>
      <c r="C393" s="347">
        <f t="shared" si="75"/>
        <v>52310</v>
      </c>
      <c r="D393" s="515">
        <f t="shared" si="75"/>
        <v>9228.5500000000011</v>
      </c>
      <c r="E393" s="517">
        <f t="shared" si="72"/>
        <v>17.642037851271269</v>
      </c>
      <c r="F393" s="549">
        <f t="shared" si="76"/>
        <v>4246</v>
      </c>
      <c r="G393" s="550">
        <f t="shared" si="76"/>
        <v>95709</v>
      </c>
      <c r="H393" s="551">
        <f t="shared" si="76"/>
        <v>64230.029999999992</v>
      </c>
      <c r="I393" s="552">
        <f t="shared" si="74"/>
        <v>67.109707551013997</v>
      </c>
    </row>
    <row r="394" spans="1:9" ht="20.25" customHeight="1" thickBot="1" x14ac:dyDescent="0.25">
      <c r="A394" s="426" t="s">
        <v>271</v>
      </c>
      <c r="B394" s="407">
        <f>B398+B409+B410</f>
        <v>170517</v>
      </c>
      <c r="C394" s="408">
        <f>C398+C409+C410</f>
        <v>1217960</v>
      </c>
      <c r="D394" s="409">
        <f>D398+D409+D410</f>
        <v>1237859.71</v>
      </c>
      <c r="E394" s="520">
        <f t="shared" si="72"/>
        <v>101.63385579165161</v>
      </c>
      <c r="F394" s="407">
        <f t="shared" ref="F394:H394" si="77">F398+F409+F410</f>
        <v>10042969</v>
      </c>
      <c r="G394" s="408">
        <f t="shared" si="77"/>
        <v>12898866</v>
      </c>
      <c r="H394" s="409">
        <f t="shared" si="77"/>
        <v>12968422.190000001</v>
      </c>
      <c r="I394" s="520">
        <f t="shared" si="74"/>
        <v>100.53924267451109</v>
      </c>
    </row>
    <row r="395" spans="1:9" ht="15.75" customHeight="1" x14ac:dyDescent="0.2">
      <c r="A395" s="436" t="s">
        <v>272</v>
      </c>
      <c r="B395" s="514">
        <f t="shared" ref="B395:D397" si="78">SUM(B343+F343)</f>
        <v>0</v>
      </c>
      <c r="C395" s="347">
        <f t="shared" si="78"/>
        <v>0</v>
      </c>
      <c r="D395" s="515">
        <f t="shared" si="78"/>
        <v>0</v>
      </c>
      <c r="E395" s="517"/>
      <c r="F395" s="514">
        <f t="shared" ref="F395:H397" si="79">SUM(F290+B343+F343)</f>
        <v>8564290</v>
      </c>
      <c r="G395" s="347">
        <f t="shared" si="79"/>
        <v>9534321</v>
      </c>
      <c r="H395" s="515">
        <f t="shared" si="79"/>
        <v>9534321</v>
      </c>
      <c r="I395" s="513">
        <f t="shared" si="74"/>
        <v>100</v>
      </c>
    </row>
    <row r="396" spans="1:9" ht="15.75" customHeight="1" x14ac:dyDescent="0.2">
      <c r="A396" s="438" t="s">
        <v>273</v>
      </c>
      <c r="B396" s="514">
        <f t="shared" si="78"/>
        <v>0</v>
      </c>
      <c r="C396" s="347">
        <f t="shared" si="78"/>
        <v>0</v>
      </c>
      <c r="D396" s="515">
        <f t="shared" si="78"/>
        <v>0</v>
      </c>
      <c r="E396" s="517"/>
      <c r="F396" s="514">
        <f t="shared" si="79"/>
        <v>1308162</v>
      </c>
      <c r="G396" s="347">
        <f t="shared" si="79"/>
        <v>1560798</v>
      </c>
      <c r="H396" s="515">
        <f t="shared" si="79"/>
        <v>1358874.0099999998</v>
      </c>
      <c r="I396" s="513">
        <f t="shared" si="74"/>
        <v>87.062772376694468</v>
      </c>
    </row>
    <row r="397" spans="1:9" ht="15.75" customHeight="1" thickBot="1" x14ac:dyDescent="0.25">
      <c r="A397" s="428" t="s">
        <v>307</v>
      </c>
      <c r="B397" s="514">
        <f t="shared" si="78"/>
        <v>0</v>
      </c>
      <c r="C397" s="347">
        <f t="shared" si="78"/>
        <v>0</v>
      </c>
      <c r="D397" s="515">
        <f t="shared" si="78"/>
        <v>44320.160000000003</v>
      </c>
      <c r="E397" s="517"/>
      <c r="F397" s="549">
        <f t="shared" si="79"/>
        <v>0</v>
      </c>
      <c r="G397" s="550">
        <f t="shared" si="79"/>
        <v>0</v>
      </c>
      <c r="H397" s="551">
        <f t="shared" si="79"/>
        <v>214874.46000000002</v>
      </c>
      <c r="I397" s="552"/>
    </row>
    <row r="398" spans="1:9" ht="28.15" customHeight="1" thickBot="1" x14ac:dyDescent="0.25">
      <c r="A398" s="472" t="s">
        <v>275</v>
      </c>
      <c r="B398" s="485">
        <f>SUM(B395:B397)</f>
        <v>0</v>
      </c>
      <c r="C398" s="486">
        <f>SUM(C395:C397)</f>
        <v>0</v>
      </c>
      <c r="D398" s="487">
        <f>SUM(D395:D397)</f>
        <v>44320.160000000003</v>
      </c>
      <c r="E398" s="520"/>
      <c r="F398" s="485">
        <f t="shared" ref="F398:H398" si="80">SUM(F395:F397)</f>
        <v>9872452</v>
      </c>
      <c r="G398" s="486">
        <f t="shared" si="80"/>
        <v>11095119</v>
      </c>
      <c r="H398" s="487">
        <f t="shared" si="80"/>
        <v>11108069.470000001</v>
      </c>
      <c r="I398" s="520">
        <f t="shared" si="74"/>
        <v>100.1167222271343</v>
      </c>
    </row>
    <row r="399" spans="1:9" ht="15.75" customHeight="1" x14ac:dyDescent="0.2">
      <c r="A399" s="469" t="s">
        <v>276</v>
      </c>
      <c r="B399" s="514">
        <f t="shared" ref="B399:B408" si="81">SUM(B347+F347)</f>
        <v>0</v>
      </c>
      <c r="C399" s="347">
        <f t="shared" ref="C399:C408" si="82">SUM(C347+G347)</f>
        <v>0</v>
      </c>
      <c r="D399" s="515">
        <f t="shared" ref="D399:D408" si="83">SUM(D347+H347)</f>
        <v>0</v>
      </c>
      <c r="E399" s="517"/>
      <c r="F399" s="514">
        <f t="shared" ref="F399:F408" si="84">SUM(F294+B347+F347)</f>
        <v>0</v>
      </c>
      <c r="G399" s="347">
        <f t="shared" ref="G399:G408" si="85">SUM(G294+C347+G347)</f>
        <v>133568</v>
      </c>
      <c r="H399" s="515">
        <f t="shared" ref="H399:H408" si="86">SUM(H294+D347+H347)</f>
        <v>133568</v>
      </c>
      <c r="I399" s="513">
        <f t="shared" si="74"/>
        <v>100</v>
      </c>
    </row>
    <row r="400" spans="1:9" ht="15.75" customHeight="1" x14ac:dyDescent="0.2">
      <c r="A400" s="422" t="s">
        <v>309</v>
      </c>
      <c r="B400" s="514">
        <f t="shared" si="81"/>
        <v>0</v>
      </c>
      <c r="C400" s="347">
        <f t="shared" si="82"/>
        <v>0</v>
      </c>
      <c r="D400" s="515">
        <f t="shared" si="83"/>
        <v>0</v>
      </c>
      <c r="E400" s="517"/>
      <c r="F400" s="514">
        <f t="shared" si="84"/>
        <v>0</v>
      </c>
      <c r="G400" s="347">
        <f t="shared" si="85"/>
        <v>52947</v>
      </c>
      <c r="H400" s="515">
        <f t="shared" si="86"/>
        <v>52947</v>
      </c>
      <c r="I400" s="513">
        <f t="shared" si="74"/>
        <v>100</v>
      </c>
    </row>
    <row r="401" spans="1:9" ht="15.75" customHeight="1" x14ac:dyDescent="0.2">
      <c r="A401" s="422" t="s">
        <v>278</v>
      </c>
      <c r="B401" s="514">
        <f t="shared" si="81"/>
        <v>0</v>
      </c>
      <c r="C401" s="347">
        <f t="shared" si="82"/>
        <v>0</v>
      </c>
      <c r="D401" s="515">
        <f t="shared" si="83"/>
        <v>0</v>
      </c>
      <c r="E401" s="517"/>
      <c r="F401" s="514">
        <f t="shared" si="84"/>
        <v>0</v>
      </c>
      <c r="G401" s="347">
        <f t="shared" si="85"/>
        <v>185441</v>
      </c>
      <c r="H401" s="515">
        <f t="shared" si="86"/>
        <v>185441</v>
      </c>
      <c r="I401" s="513">
        <f t="shared" si="74"/>
        <v>100</v>
      </c>
    </row>
    <row r="402" spans="1:9" ht="15.75" customHeight="1" x14ac:dyDescent="0.2">
      <c r="A402" s="422" t="s">
        <v>279</v>
      </c>
      <c r="B402" s="514">
        <f t="shared" si="81"/>
        <v>0</v>
      </c>
      <c r="C402" s="347">
        <f t="shared" si="82"/>
        <v>0</v>
      </c>
      <c r="D402" s="515">
        <f t="shared" si="83"/>
        <v>0</v>
      </c>
      <c r="E402" s="517"/>
      <c r="F402" s="514">
        <f t="shared" si="84"/>
        <v>0</v>
      </c>
      <c r="G402" s="347">
        <f t="shared" si="85"/>
        <v>0</v>
      </c>
      <c r="H402" s="515">
        <f t="shared" si="86"/>
        <v>0</v>
      </c>
      <c r="I402" s="513"/>
    </row>
    <row r="403" spans="1:9" ht="15.75" customHeight="1" x14ac:dyDescent="0.2">
      <c r="A403" s="431" t="s">
        <v>280</v>
      </c>
      <c r="B403" s="514">
        <f t="shared" si="81"/>
        <v>0</v>
      </c>
      <c r="C403" s="347">
        <f t="shared" si="82"/>
        <v>0</v>
      </c>
      <c r="D403" s="515">
        <f t="shared" si="83"/>
        <v>0</v>
      </c>
      <c r="E403" s="517"/>
      <c r="F403" s="514">
        <f t="shared" si="84"/>
        <v>0</v>
      </c>
      <c r="G403" s="347">
        <f t="shared" si="85"/>
        <v>250</v>
      </c>
      <c r="H403" s="515">
        <f t="shared" si="86"/>
        <v>250</v>
      </c>
      <c r="I403" s="513">
        <f t="shared" si="74"/>
        <v>100</v>
      </c>
    </row>
    <row r="404" spans="1:9" ht="15.75" customHeight="1" x14ac:dyDescent="0.2">
      <c r="A404" s="431" t="s">
        <v>281</v>
      </c>
      <c r="B404" s="514">
        <f t="shared" si="81"/>
        <v>0</v>
      </c>
      <c r="C404" s="347">
        <f t="shared" si="82"/>
        <v>0</v>
      </c>
      <c r="D404" s="515">
        <f t="shared" si="83"/>
        <v>0</v>
      </c>
      <c r="E404" s="517"/>
      <c r="F404" s="514">
        <f t="shared" si="84"/>
        <v>0</v>
      </c>
      <c r="G404" s="347">
        <f t="shared" si="85"/>
        <v>162696</v>
      </c>
      <c r="H404" s="515">
        <f t="shared" si="86"/>
        <v>162696</v>
      </c>
      <c r="I404" s="513">
        <f t="shared" si="74"/>
        <v>100</v>
      </c>
    </row>
    <row r="405" spans="1:9" ht="15.75" customHeight="1" x14ac:dyDescent="0.2">
      <c r="A405" s="431" t="s">
        <v>282</v>
      </c>
      <c r="B405" s="514">
        <f t="shared" si="81"/>
        <v>0</v>
      </c>
      <c r="C405" s="347">
        <f t="shared" si="82"/>
        <v>0</v>
      </c>
      <c r="D405" s="515">
        <f t="shared" si="83"/>
        <v>0</v>
      </c>
      <c r="E405" s="517"/>
      <c r="F405" s="514">
        <f t="shared" si="84"/>
        <v>0</v>
      </c>
      <c r="G405" s="347">
        <f t="shared" si="85"/>
        <v>27150</v>
      </c>
      <c r="H405" s="515">
        <f t="shared" si="86"/>
        <v>27150</v>
      </c>
      <c r="I405" s="513">
        <f t="shared" si="74"/>
        <v>100</v>
      </c>
    </row>
    <row r="406" spans="1:9" ht="15.75" customHeight="1" x14ac:dyDescent="0.2">
      <c r="A406" s="431" t="s">
        <v>283</v>
      </c>
      <c r="B406" s="514">
        <f t="shared" si="81"/>
        <v>0</v>
      </c>
      <c r="C406" s="347">
        <f t="shared" si="82"/>
        <v>0</v>
      </c>
      <c r="D406" s="515">
        <f t="shared" si="83"/>
        <v>0</v>
      </c>
      <c r="E406" s="517"/>
      <c r="F406" s="514">
        <f t="shared" si="84"/>
        <v>0</v>
      </c>
      <c r="G406" s="347">
        <f t="shared" si="85"/>
        <v>2000</v>
      </c>
      <c r="H406" s="515">
        <f t="shared" si="86"/>
        <v>2000</v>
      </c>
      <c r="I406" s="513">
        <f t="shared" si="74"/>
        <v>100</v>
      </c>
    </row>
    <row r="407" spans="1:9" ht="15.75" customHeight="1" x14ac:dyDescent="0.2">
      <c r="A407" s="431" t="s">
        <v>284</v>
      </c>
      <c r="B407" s="514">
        <f t="shared" si="81"/>
        <v>0</v>
      </c>
      <c r="C407" s="347">
        <f t="shared" si="82"/>
        <v>0</v>
      </c>
      <c r="D407" s="515">
        <f t="shared" si="83"/>
        <v>0</v>
      </c>
      <c r="E407" s="517"/>
      <c r="F407" s="514">
        <f t="shared" si="84"/>
        <v>0</v>
      </c>
      <c r="G407" s="347">
        <f t="shared" si="85"/>
        <v>4000</v>
      </c>
      <c r="H407" s="515">
        <f t="shared" si="86"/>
        <v>0</v>
      </c>
      <c r="I407" s="513">
        <f t="shared" si="74"/>
        <v>0</v>
      </c>
    </row>
    <row r="408" spans="1:9" ht="15.75" customHeight="1" thickBot="1" x14ac:dyDescent="0.25">
      <c r="A408" s="427" t="s">
        <v>285</v>
      </c>
      <c r="B408" s="514">
        <f t="shared" si="81"/>
        <v>170517</v>
      </c>
      <c r="C408" s="347">
        <f t="shared" si="82"/>
        <v>173521</v>
      </c>
      <c r="D408" s="515">
        <f t="shared" si="83"/>
        <v>149103.79</v>
      </c>
      <c r="E408" s="517">
        <f t="shared" ref="E408:E420" si="87">D408/C408*100</f>
        <v>85.928383308072227</v>
      </c>
      <c r="F408" s="549">
        <f t="shared" si="84"/>
        <v>170517</v>
      </c>
      <c r="G408" s="550">
        <f t="shared" si="85"/>
        <v>173521</v>
      </c>
      <c r="H408" s="551">
        <f t="shared" si="86"/>
        <v>149103.79</v>
      </c>
      <c r="I408" s="552">
        <f t="shared" si="74"/>
        <v>85.928383308072227</v>
      </c>
    </row>
    <row r="409" spans="1:9" ht="16.5" customHeight="1" thickBot="1" x14ac:dyDescent="0.25">
      <c r="A409" s="439" t="s">
        <v>286</v>
      </c>
      <c r="B409" s="488">
        <f>SUM(B399:B408)</f>
        <v>170517</v>
      </c>
      <c r="C409" s="489">
        <f>SUM(C399:C408)</f>
        <v>173521</v>
      </c>
      <c r="D409" s="490">
        <f>SUM(D399:D408)</f>
        <v>149103.79</v>
      </c>
      <c r="E409" s="520">
        <f t="shared" si="87"/>
        <v>85.928383308072227</v>
      </c>
      <c r="F409" s="553">
        <f t="shared" ref="F409:H409" si="88">SUM(F399:F408)</f>
        <v>170517</v>
      </c>
      <c r="G409" s="554">
        <f t="shared" si="88"/>
        <v>741573</v>
      </c>
      <c r="H409" s="555">
        <f t="shared" si="88"/>
        <v>713155.79</v>
      </c>
      <c r="I409" s="556">
        <f t="shared" si="74"/>
        <v>96.167982113696155</v>
      </c>
    </row>
    <row r="410" spans="1:9" ht="17.25" customHeight="1" thickBot="1" x14ac:dyDescent="0.25">
      <c r="A410" s="439" t="s">
        <v>287</v>
      </c>
      <c r="B410" s="514">
        <f>SUM(B358+F358)</f>
        <v>0</v>
      </c>
      <c r="C410" s="347">
        <f t="shared" ref="C410:D410" si="89">SUM(C358+G358)</f>
        <v>1044439</v>
      </c>
      <c r="D410" s="515">
        <f t="shared" si="89"/>
        <v>1044435.76</v>
      </c>
      <c r="E410" s="517">
        <f t="shared" si="87"/>
        <v>99.999689785616965</v>
      </c>
      <c r="F410" s="557">
        <f t="shared" ref="F410:H410" si="90">SUM(F305+B358+F358)</f>
        <v>0</v>
      </c>
      <c r="G410" s="558">
        <f t="shared" si="90"/>
        <v>1062174</v>
      </c>
      <c r="H410" s="559">
        <f t="shared" si="90"/>
        <v>1147196.9300000002</v>
      </c>
      <c r="I410" s="520">
        <f t="shared" si="74"/>
        <v>108.00461412160345</v>
      </c>
    </row>
    <row r="411" spans="1:9" ht="24.75" customHeight="1" thickBot="1" x14ac:dyDescent="0.25">
      <c r="A411" s="426" t="s">
        <v>288</v>
      </c>
      <c r="B411" s="407">
        <f>B412+B413+B414+B415+B416+B417+B418</f>
        <v>7984706</v>
      </c>
      <c r="C411" s="408">
        <f>C412+C413+C414+C415+C416+C417+C418</f>
        <v>7416693</v>
      </c>
      <c r="D411" s="409">
        <f>D412+D413+D414+D415+D416+D417+D418</f>
        <v>7221660.5499999998</v>
      </c>
      <c r="E411" s="520">
        <f t="shared" si="87"/>
        <v>97.370358325469311</v>
      </c>
      <c r="F411" s="407">
        <f t="shared" ref="F411:H411" si="91">F412+F413+F414+F415+F416+F417+F418</f>
        <v>11528431</v>
      </c>
      <c r="G411" s="408">
        <f t="shared" si="91"/>
        <v>11364923</v>
      </c>
      <c r="H411" s="409">
        <f t="shared" si="91"/>
        <v>11140125.100000001</v>
      </c>
      <c r="I411" s="520">
        <f t="shared" si="74"/>
        <v>98.0220024367961</v>
      </c>
    </row>
    <row r="412" spans="1:9" ht="15.75" customHeight="1" x14ac:dyDescent="0.2">
      <c r="A412" s="435" t="s">
        <v>325</v>
      </c>
      <c r="B412" s="560">
        <f t="shared" ref="B412:B421" si="92">SUM(B360+F360)</f>
        <v>0</v>
      </c>
      <c r="C412" s="561">
        <f t="shared" ref="C412:C421" si="93">SUM(C360+G360)</f>
        <v>0</v>
      </c>
      <c r="D412" s="562">
        <f t="shared" ref="D412:D421" si="94">SUM(D360+H360)</f>
        <v>0</v>
      </c>
      <c r="E412" s="548"/>
      <c r="F412" s="560">
        <f t="shared" ref="F412:H416" si="95">SUM(F307+B360+F360)</f>
        <v>0</v>
      </c>
      <c r="G412" s="561">
        <f t="shared" si="95"/>
        <v>92904</v>
      </c>
      <c r="H412" s="562">
        <f t="shared" si="95"/>
        <v>67743.62</v>
      </c>
      <c r="I412" s="548">
        <f t="shared" si="74"/>
        <v>72.917872212176007</v>
      </c>
    </row>
    <row r="413" spans="1:9" ht="15.75" customHeight="1" x14ac:dyDescent="0.2">
      <c r="A413" s="436" t="s">
        <v>290</v>
      </c>
      <c r="B413" s="514">
        <f t="shared" si="92"/>
        <v>974351</v>
      </c>
      <c r="C413" s="347">
        <f t="shared" si="93"/>
        <v>987706</v>
      </c>
      <c r="D413" s="515">
        <f t="shared" si="94"/>
        <v>890375.81</v>
      </c>
      <c r="E413" s="517">
        <f t="shared" si="87"/>
        <v>90.145833881742149</v>
      </c>
      <c r="F413" s="514">
        <f t="shared" si="95"/>
        <v>2206717</v>
      </c>
      <c r="G413" s="347">
        <f t="shared" si="95"/>
        <v>2276215</v>
      </c>
      <c r="H413" s="515">
        <f t="shared" si="95"/>
        <v>2178884.7999999998</v>
      </c>
      <c r="I413" s="513">
        <f t="shared" si="74"/>
        <v>95.724033098806558</v>
      </c>
    </row>
    <row r="414" spans="1:9" ht="15.75" customHeight="1" x14ac:dyDescent="0.2">
      <c r="A414" s="437" t="s">
        <v>291</v>
      </c>
      <c r="B414" s="514">
        <f t="shared" si="92"/>
        <v>110250</v>
      </c>
      <c r="C414" s="347">
        <f t="shared" si="93"/>
        <v>117595</v>
      </c>
      <c r="D414" s="515">
        <f t="shared" si="94"/>
        <v>89186.42</v>
      </c>
      <c r="E414" s="517">
        <f t="shared" si="87"/>
        <v>75.842017092563466</v>
      </c>
      <c r="F414" s="514">
        <f t="shared" si="95"/>
        <v>326410</v>
      </c>
      <c r="G414" s="347">
        <f t="shared" si="95"/>
        <v>335187</v>
      </c>
      <c r="H414" s="515">
        <f t="shared" si="95"/>
        <v>302764.74</v>
      </c>
      <c r="I414" s="513">
        <f t="shared" si="74"/>
        <v>90.32711292502394</v>
      </c>
    </row>
    <row r="415" spans="1:9" ht="15.75" customHeight="1" x14ac:dyDescent="0.2">
      <c r="A415" s="437" t="s">
        <v>326</v>
      </c>
      <c r="B415" s="514">
        <f t="shared" si="92"/>
        <v>5603917</v>
      </c>
      <c r="C415" s="347">
        <f t="shared" si="93"/>
        <v>5000206</v>
      </c>
      <c r="D415" s="515">
        <f t="shared" si="94"/>
        <v>4969237.16</v>
      </c>
      <c r="E415" s="517">
        <f t="shared" si="87"/>
        <v>99.380648717272848</v>
      </c>
      <c r="F415" s="514">
        <f t="shared" si="95"/>
        <v>7612116</v>
      </c>
      <c r="G415" s="347">
        <f t="shared" si="95"/>
        <v>7261381</v>
      </c>
      <c r="H415" s="515">
        <f t="shared" si="95"/>
        <v>7230412.1600000001</v>
      </c>
      <c r="I415" s="513">
        <f t="shared" si="74"/>
        <v>99.573513082428804</v>
      </c>
    </row>
    <row r="416" spans="1:9" ht="15.75" customHeight="1" x14ac:dyDescent="0.2">
      <c r="A416" s="437" t="s">
        <v>327</v>
      </c>
      <c r="B416" s="514">
        <f t="shared" si="92"/>
        <v>705088</v>
      </c>
      <c r="C416" s="347">
        <f t="shared" si="93"/>
        <v>795403</v>
      </c>
      <c r="D416" s="515">
        <f t="shared" si="94"/>
        <v>764035.92999999993</v>
      </c>
      <c r="E416" s="517">
        <f t="shared" si="87"/>
        <v>96.056455658326655</v>
      </c>
      <c r="F416" s="514">
        <f t="shared" si="95"/>
        <v>792088</v>
      </c>
      <c r="G416" s="347">
        <f t="shared" si="95"/>
        <v>883453</v>
      </c>
      <c r="H416" s="515">
        <f t="shared" si="95"/>
        <v>851494.55</v>
      </c>
      <c r="I416" s="513">
        <f t="shared" si="74"/>
        <v>96.382552325930192</v>
      </c>
    </row>
    <row r="417" spans="1:9" ht="15.75" customHeight="1" x14ac:dyDescent="0.2">
      <c r="A417" s="437" t="s">
        <v>328</v>
      </c>
      <c r="B417" s="514">
        <f t="shared" si="92"/>
        <v>515814</v>
      </c>
      <c r="C417" s="347">
        <f t="shared" si="93"/>
        <v>441073</v>
      </c>
      <c r="D417" s="515">
        <f t="shared" si="94"/>
        <v>433099.88</v>
      </c>
      <c r="E417" s="517">
        <f t="shared" si="87"/>
        <v>98.192335509088068</v>
      </c>
      <c r="F417" s="514">
        <f t="shared" ref="F417:H418" si="96">SUM(B365+F365)</f>
        <v>515814</v>
      </c>
      <c r="G417" s="347">
        <f t="shared" si="96"/>
        <v>441073</v>
      </c>
      <c r="H417" s="515">
        <f t="shared" si="96"/>
        <v>433099.88</v>
      </c>
      <c r="I417" s="513">
        <f t="shared" si="74"/>
        <v>98.192335509088068</v>
      </c>
    </row>
    <row r="418" spans="1:9" ht="15.75" customHeight="1" thickBot="1" x14ac:dyDescent="0.25">
      <c r="A418" s="438" t="s">
        <v>329</v>
      </c>
      <c r="B418" s="563">
        <f t="shared" si="92"/>
        <v>75286</v>
      </c>
      <c r="C418" s="564">
        <f t="shared" si="93"/>
        <v>74710</v>
      </c>
      <c r="D418" s="565">
        <f t="shared" si="94"/>
        <v>75725.350000000006</v>
      </c>
      <c r="E418" s="566">
        <f t="shared" si="87"/>
        <v>101.35905501271584</v>
      </c>
      <c r="F418" s="563">
        <f t="shared" si="96"/>
        <v>75286</v>
      </c>
      <c r="G418" s="564">
        <f t="shared" si="96"/>
        <v>74710</v>
      </c>
      <c r="H418" s="567">
        <f t="shared" si="96"/>
        <v>75725.350000000006</v>
      </c>
      <c r="I418" s="568">
        <f t="shared" si="74"/>
        <v>101.35905501271584</v>
      </c>
    </row>
    <row r="419" spans="1:9" s="378" customFormat="1" ht="21" customHeight="1" thickBot="1" x14ac:dyDescent="0.25">
      <c r="A419" s="439" t="s">
        <v>294</v>
      </c>
      <c r="B419" s="488">
        <f t="shared" si="92"/>
        <v>452382</v>
      </c>
      <c r="C419" s="489">
        <f t="shared" si="93"/>
        <v>452382</v>
      </c>
      <c r="D419" s="490">
        <f t="shared" si="94"/>
        <v>413042.04000000004</v>
      </c>
      <c r="E419" s="527">
        <f t="shared" si="87"/>
        <v>91.303818454315163</v>
      </c>
      <c r="F419" s="488">
        <f t="shared" ref="F419:H421" si="97">SUM(F312+B367+F367)</f>
        <v>638753</v>
      </c>
      <c r="G419" s="489">
        <f t="shared" si="97"/>
        <v>638753</v>
      </c>
      <c r="H419" s="490">
        <f t="shared" si="97"/>
        <v>629403.6</v>
      </c>
      <c r="I419" s="527">
        <f t="shared" si="74"/>
        <v>98.536304330468894</v>
      </c>
    </row>
    <row r="420" spans="1:9" s="378" customFormat="1" ht="21" customHeight="1" thickBot="1" x14ac:dyDescent="0.25">
      <c r="A420" s="439" t="s">
        <v>295</v>
      </c>
      <c r="B420" s="488">
        <f t="shared" si="92"/>
        <v>254880</v>
      </c>
      <c r="C420" s="489">
        <f t="shared" si="93"/>
        <v>254880</v>
      </c>
      <c r="D420" s="490">
        <f t="shared" si="94"/>
        <v>101559.6</v>
      </c>
      <c r="E420" s="527">
        <f t="shared" si="87"/>
        <v>39.846045197740118</v>
      </c>
      <c r="F420" s="488">
        <f t="shared" si="97"/>
        <v>1117573</v>
      </c>
      <c r="G420" s="489">
        <f t="shared" si="97"/>
        <v>1117573</v>
      </c>
      <c r="H420" s="490">
        <f t="shared" si="97"/>
        <v>486710.76</v>
      </c>
      <c r="I420" s="527">
        <f t="shared" si="74"/>
        <v>43.55069064839612</v>
      </c>
    </row>
    <row r="421" spans="1:9" s="378" customFormat="1" ht="21" customHeight="1" thickBot="1" x14ac:dyDescent="0.25">
      <c r="A421" s="439" t="s">
        <v>296</v>
      </c>
      <c r="B421" s="488">
        <f t="shared" si="92"/>
        <v>0</v>
      </c>
      <c r="C421" s="489">
        <f t="shared" si="93"/>
        <v>0</v>
      </c>
      <c r="D421" s="490">
        <f t="shared" si="94"/>
        <v>12507.6</v>
      </c>
      <c r="E421" s="527"/>
      <c r="F421" s="488">
        <f t="shared" si="97"/>
        <v>0</v>
      </c>
      <c r="G421" s="489">
        <f t="shared" si="97"/>
        <v>0</v>
      </c>
      <c r="H421" s="490">
        <f t="shared" si="97"/>
        <v>14292.4</v>
      </c>
      <c r="I421" s="527"/>
    </row>
    <row r="422" spans="1:9" ht="19.5" customHeight="1" thickBot="1" x14ac:dyDescent="0.25">
      <c r="A422" s="429" t="s">
        <v>297</v>
      </c>
      <c r="B422" s="309">
        <f t="shared" ref="B422" si="98">SUM(B423:B424)</f>
        <v>0</v>
      </c>
      <c r="C422" s="306">
        <f t="shared" ref="C422:H422" si="99">SUM(C423:C424)</f>
        <v>0</v>
      </c>
      <c r="D422" s="307">
        <f t="shared" si="99"/>
        <v>20000</v>
      </c>
      <c r="E422" s="520"/>
      <c r="F422" s="569">
        <f t="shared" si="99"/>
        <v>0</v>
      </c>
      <c r="G422" s="570">
        <f t="shared" si="99"/>
        <v>4500</v>
      </c>
      <c r="H422" s="571">
        <f t="shared" si="99"/>
        <v>35463</v>
      </c>
      <c r="I422" s="572">
        <f t="shared" si="74"/>
        <v>788.06666666666661</v>
      </c>
    </row>
    <row r="423" spans="1:9" ht="15.75" customHeight="1" thickBot="1" x14ac:dyDescent="0.25">
      <c r="A423" s="389" t="s">
        <v>330</v>
      </c>
      <c r="B423" s="514">
        <f t="shared" ref="B423:D424" si="100">SUM(B371+F371)</f>
        <v>0</v>
      </c>
      <c r="C423" s="347">
        <f t="shared" si="100"/>
        <v>0</v>
      </c>
      <c r="D423" s="515">
        <f t="shared" si="100"/>
        <v>20000</v>
      </c>
      <c r="E423" s="455"/>
      <c r="F423" s="560">
        <f t="shared" ref="F423:H424" si="101">SUM(F316+B371+F371)</f>
        <v>0</v>
      </c>
      <c r="G423" s="561">
        <f t="shared" si="101"/>
        <v>4500</v>
      </c>
      <c r="H423" s="562">
        <f t="shared" si="101"/>
        <v>34263</v>
      </c>
      <c r="I423" s="548">
        <f t="shared" si="74"/>
        <v>761.4</v>
      </c>
    </row>
    <row r="424" spans="1:9" ht="15.75" customHeight="1" thickBot="1" x14ac:dyDescent="0.25">
      <c r="A424" s="396" t="s">
        <v>299</v>
      </c>
      <c r="B424" s="514">
        <f t="shared" si="100"/>
        <v>0</v>
      </c>
      <c r="C424" s="347">
        <f t="shared" si="100"/>
        <v>0</v>
      </c>
      <c r="D424" s="515">
        <f t="shared" si="100"/>
        <v>0</v>
      </c>
      <c r="E424" s="425"/>
      <c r="F424" s="563">
        <f t="shared" si="101"/>
        <v>0</v>
      </c>
      <c r="G424" s="564">
        <f t="shared" si="101"/>
        <v>0</v>
      </c>
      <c r="H424" s="567">
        <f t="shared" si="101"/>
        <v>1200</v>
      </c>
      <c r="I424" s="568"/>
    </row>
    <row r="425" spans="1:9" ht="17.25" customHeight="1" thickBot="1" x14ac:dyDescent="0.25">
      <c r="A425" s="444" t="s">
        <v>300</v>
      </c>
      <c r="B425" s="407">
        <f t="shared" ref="B425:C425" si="102">B394+B411+B422+B419+B420+B421</f>
        <v>8862485</v>
      </c>
      <c r="C425" s="408">
        <f t="shared" si="102"/>
        <v>9341915</v>
      </c>
      <c r="D425" s="409">
        <f>D394+D411+D422+D419+D420+D421</f>
        <v>9006629.5</v>
      </c>
      <c r="E425" s="520">
        <f t="shared" ref="E425" si="103">D425/C425*100</f>
        <v>96.410955355513295</v>
      </c>
      <c r="F425" s="407">
        <f t="shared" ref="F425:H425" si="104">F394+F411+F422+F419+F420+F421</f>
        <v>23327726</v>
      </c>
      <c r="G425" s="408">
        <f t="shared" si="104"/>
        <v>26024615</v>
      </c>
      <c r="H425" s="409">
        <f t="shared" si="104"/>
        <v>25274417.050000004</v>
      </c>
      <c r="I425" s="528">
        <f t="shared" si="74"/>
        <v>97.11735236044801</v>
      </c>
    </row>
    <row r="426" spans="1:9" ht="15.75" customHeight="1" x14ac:dyDescent="0.2">
      <c r="A426" s="442" t="s">
        <v>301</v>
      </c>
      <c r="B426" s="514">
        <f>SUM(B374+F374)</f>
        <v>0</v>
      </c>
      <c r="C426" s="347">
        <f t="shared" ref="C426:D426" si="105">SUM(C374+G374)</f>
        <v>0</v>
      </c>
      <c r="D426" s="515">
        <f t="shared" si="105"/>
        <v>0</v>
      </c>
      <c r="E426" s="455"/>
      <c r="F426" s="514">
        <f t="shared" ref="F426:H427" si="106">SUM(F319+B374+F374)</f>
        <v>0</v>
      </c>
      <c r="G426" s="347">
        <f t="shared" si="106"/>
        <v>0</v>
      </c>
      <c r="H426" s="515">
        <f t="shared" si="106"/>
        <v>0</v>
      </c>
      <c r="I426" s="513"/>
    </row>
    <row r="427" spans="1:9" s="434" customFormat="1" ht="15.75" customHeight="1" thickBot="1" x14ac:dyDescent="0.25">
      <c r="A427" s="443" t="s">
        <v>302</v>
      </c>
      <c r="B427" s="549">
        <f t="shared" ref="B427:D427" si="107">SUM(F320+B375+F375)</f>
        <v>0</v>
      </c>
      <c r="C427" s="550">
        <f t="shared" si="107"/>
        <v>33400</v>
      </c>
      <c r="D427" s="551">
        <f t="shared" si="107"/>
        <v>32900</v>
      </c>
      <c r="E427" s="523">
        <f t="shared" ref="E427" si="108">D427/C427*100</f>
        <v>98.502994011976057</v>
      </c>
      <c r="F427" s="549">
        <f t="shared" si="106"/>
        <v>0</v>
      </c>
      <c r="G427" s="550">
        <f t="shared" si="106"/>
        <v>33400</v>
      </c>
      <c r="H427" s="551">
        <f t="shared" si="106"/>
        <v>32900</v>
      </c>
      <c r="I427" s="552">
        <f t="shared" si="74"/>
        <v>98.502994011976057</v>
      </c>
    </row>
    <row r="428" spans="1:9" ht="19.149999999999999" customHeight="1" thickBot="1" x14ac:dyDescent="0.25">
      <c r="A428" s="540" t="s">
        <v>331</v>
      </c>
      <c r="B428" s="407">
        <f>SUM(B425:B427)</f>
        <v>8862485</v>
      </c>
      <c r="C428" s="408">
        <f>SUM(C425:C427)</f>
        <v>9375315</v>
      </c>
      <c r="D428" s="409">
        <f>SUM(D425:D427)</f>
        <v>9039529.5</v>
      </c>
      <c r="E428" s="510">
        <f>D428/C428*100</f>
        <v>96.418408341479719</v>
      </c>
      <c r="F428" s="407">
        <f t="shared" ref="F428:H428" si="109">SUM(F425:F427)</f>
        <v>23327726</v>
      </c>
      <c r="G428" s="408">
        <f t="shared" si="109"/>
        <v>26058015</v>
      </c>
      <c r="H428" s="409">
        <f t="shared" si="109"/>
        <v>25307317.050000004</v>
      </c>
      <c r="I428" s="520">
        <f t="shared" si="74"/>
        <v>97.119128414040773</v>
      </c>
    </row>
    <row r="430" spans="1:9" x14ac:dyDescent="0.2">
      <c r="A430" s="293"/>
      <c r="E430" s="293"/>
      <c r="F430" s="293"/>
      <c r="G430" s="293"/>
      <c r="H430" s="293"/>
      <c r="I430" s="293"/>
    </row>
  </sheetData>
  <sheetProtection sheet="1" objects="1" scenarios="1"/>
  <mergeCells count="36">
    <mergeCell ref="A122:A123"/>
    <mergeCell ref="B122:E122"/>
    <mergeCell ref="F122:I122"/>
    <mergeCell ref="A3:H3"/>
    <mergeCell ref="A4:H4"/>
    <mergeCell ref="H9:I9"/>
    <mergeCell ref="A10:D10"/>
    <mergeCell ref="A11:A12"/>
    <mergeCell ref="B11:E11"/>
    <mergeCell ref="F11:I11"/>
    <mergeCell ref="H65:I65"/>
    <mergeCell ref="A67:A68"/>
    <mergeCell ref="B67:E67"/>
    <mergeCell ref="F67:I67"/>
    <mergeCell ref="H120:I120"/>
    <mergeCell ref="B333:I333"/>
    <mergeCell ref="H176:I176"/>
    <mergeCell ref="A178:A179"/>
    <mergeCell ref="B178:E178"/>
    <mergeCell ref="F178:I178"/>
    <mergeCell ref="H228:I228"/>
    <mergeCell ref="A230:A231"/>
    <mergeCell ref="B230:E230"/>
    <mergeCell ref="F230:I230"/>
    <mergeCell ref="H279:I279"/>
    <mergeCell ref="A281:A282"/>
    <mergeCell ref="B281:E281"/>
    <mergeCell ref="F281:I281"/>
    <mergeCell ref="H331:I331"/>
    <mergeCell ref="A334:A335"/>
    <mergeCell ref="B334:E334"/>
    <mergeCell ref="F334:I334"/>
    <mergeCell ref="H384:I384"/>
    <mergeCell ref="A386:A387"/>
    <mergeCell ref="B386:E386"/>
    <mergeCell ref="F386:I386"/>
  </mergeCells>
  <pageMargins left="0.11811023622047245" right="0.11811023622047245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4</vt:i4>
      </vt:variant>
    </vt:vector>
  </HeadingPairs>
  <TitlesOfParts>
    <vt:vector size="4" baseType="lpstr">
      <vt:lpstr>PRÍJMY </vt:lpstr>
      <vt:lpstr>VÝDAJE </vt:lpstr>
      <vt:lpstr>VPS KZP MKP SSSP</vt:lpstr>
      <vt:lpstr>ZŠ a MŠ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Orságová Ľubica</dc:creator>
  <cp:lastModifiedBy>Orságová Ľubica</cp:lastModifiedBy>
  <cp:lastPrinted>2021-05-13T10:07:13Z</cp:lastPrinted>
  <dcterms:created xsi:type="dcterms:W3CDTF">2021-03-19T19:28:18Z</dcterms:created>
  <dcterms:modified xsi:type="dcterms:W3CDTF">2021-05-18T12:08:37Z</dcterms:modified>
</cp:coreProperties>
</file>